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110" firstSheet="4" activeTab="10"/>
  </bookViews>
  <sheets>
    <sheet name="Phẫu thuật" sheetId="1" r:id="rId1"/>
    <sheet name="PTTHEOCA" sheetId="2" r:id="rId2"/>
    <sheet name="Thủ thuật" sheetId="3" r:id="rId3"/>
    <sheet name="TTTHEOCA" sheetId="4" r:id="rId4"/>
    <sheet name="TT NỘI SOI" sheetId="5" r:id="rId5"/>
    <sheet name="TT SẢN" sheetId="6" r:id="rId6"/>
    <sheet name="TT HSCC" sheetId="7" r:id="rId7"/>
    <sheet name="TT NGOẠI" sheetId="8" r:id="rId8"/>
    <sheet name="PT SẢN" sheetId="9" r:id="rId9"/>
    <sheet name="PT HSCC" sheetId="10" r:id="rId10"/>
    <sheet name="PT NGOẠI" sheetId="11" r:id="rId11"/>
    <sheet name="SALARRY" sheetId="12" r:id="rId12"/>
  </sheets>
  <definedNames/>
  <calcPr fullCalcOnLoad="1"/>
</workbook>
</file>

<file path=xl/comments2.xml><?xml version="1.0" encoding="utf-8"?>
<comments xmlns="http://schemas.openxmlformats.org/spreadsheetml/2006/main">
  <authors>
    <author>DA DA</author>
  </authors>
  <commentList>
    <comment ref="E8" authorId="0">
      <text>
        <r>
          <rPr>
            <b/>
            <sz val="8"/>
            <rFont val="Tahoma"/>
            <family val="2"/>
          </rPr>
          <t>DA
15 ca trong đó có 5 ca 2 kíp</t>
        </r>
      </text>
    </comment>
    <comment ref="E9" authorId="0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20 ca trong đó có 10 ca 2 kíp
</t>
        </r>
      </text>
    </comment>
    <comment ref="E15" authorId="0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5 ca trong đó có 4 ca 2 kíp</t>
        </r>
      </text>
    </comment>
    <comment ref="D16" authorId="0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3ca 2 kíp</t>
        </r>
      </text>
    </comment>
    <comment ref="E16" authorId="0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2 ca 2 kíp</t>
        </r>
      </text>
    </comment>
    <comment ref="E10" authorId="0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6 ca trong đó có 2 ca 2 kíp</t>
        </r>
      </text>
    </comment>
    <comment ref="E11" authorId="0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4 ca trong đó có 2 ca 2 kíp </t>
        </r>
      </text>
    </comment>
    <comment ref="E12" authorId="0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6 ca trong đó có 3 ca 2 kíp</t>
        </r>
      </text>
    </comment>
    <comment ref="D12" authorId="0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5 ca trong đó có 1 ca 2 kíp
</t>
        </r>
      </text>
    </comment>
    <comment ref="E18" authorId="0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1 ca 2 kíp</t>
        </r>
      </text>
    </comment>
    <comment ref="E19" authorId="0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2 ca 2 kíp</t>
        </r>
      </text>
    </comment>
    <comment ref="E13" authorId="0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9 ca trong đó có 4 ca 2 kipd</t>
        </r>
      </text>
    </comment>
  </commentList>
</comments>
</file>

<file path=xl/sharedStrings.xml><?xml version="1.0" encoding="utf-8"?>
<sst xmlns="http://schemas.openxmlformats.org/spreadsheetml/2006/main" count="538" uniqueCount="158">
  <si>
    <t>STT</t>
  </si>
  <si>
    <t>Thành tiền</t>
  </si>
  <si>
    <t>Tổng</t>
  </si>
  <si>
    <t xml:space="preserve">Tổng cộng </t>
  </si>
  <si>
    <t>Loại I</t>
  </si>
  <si>
    <t>Loại II</t>
  </si>
  <si>
    <t>Loại III</t>
  </si>
  <si>
    <t xml:space="preserve">Người mổ chính,
người gây mê hồi sức 
hoặc châm tê chính </t>
  </si>
  <si>
    <t>PHẪU THUẬT</t>
  </si>
  <si>
    <t>Người phụ mổ, người phụ gây mê hồi sức hoặc phụ châm tê</t>
  </si>
  <si>
    <t>Người giúp việc cho ca mổ</t>
  </si>
  <si>
    <t>THỦ THUẬT</t>
  </si>
  <si>
    <t>Chênh lệch</t>
  </si>
  <si>
    <t>Theo QĐ 73</t>
  </si>
  <si>
    <t>Theo QĐ155</t>
  </si>
  <si>
    <t>Loại 1</t>
  </si>
  <si>
    <t>Loại 2</t>
  </si>
  <si>
    <t>Loại 3</t>
  </si>
  <si>
    <t>Khoa,
 Phòng</t>
  </si>
  <si>
    <t xml:space="preserve">Tổng số ca </t>
  </si>
  <si>
    <t>Khoa HSCC</t>
  </si>
  <si>
    <t>Tháng 7</t>
  </si>
  <si>
    <t>Tháng 8</t>
  </si>
  <si>
    <t>Tháng 9</t>
  </si>
  <si>
    <t>Tháng 10</t>
  </si>
  <si>
    <t>Tổng
 số ca</t>
  </si>
  <si>
    <t>Phòng Nội Soi</t>
  </si>
  <si>
    <t>Tổng 
số ca</t>
  </si>
  <si>
    <t xml:space="preserve">Khoa Ngoại </t>
  </si>
  <si>
    <t>Khoa  Sản</t>
  </si>
  <si>
    <t xml:space="preserve">Dương Vĩnh Hồng </t>
  </si>
  <si>
    <t>Thủ Thuật loại I</t>
  </si>
  <si>
    <t xml:space="preserve">Họ và tên </t>
  </si>
  <si>
    <t xml:space="preserve">Đoàn Thị Thu Nga </t>
  </si>
  <si>
    <t xml:space="preserve">Ký
 nhận </t>
  </si>
  <si>
    <t xml:space="preserve">DANH SÁCH CÁN BỘ NHẬN TIỀN THỦ THUẬT THEO QUYẾT ĐỊNH 73/2011 
CỦA THỦ TƯỚNG CHÍNH PHỦ </t>
  </si>
  <si>
    <t xml:space="preserve">Phòng Nội Soi </t>
  </si>
  <si>
    <t>Lê Quang Hiệp</t>
  </si>
  <si>
    <t>Lê Thị Thu Nguyệt</t>
  </si>
  <si>
    <t xml:space="preserve">Khoa Sản </t>
  </si>
  <si>
    <t>Thủ Thuật loại II</t>
  </si>
  <si>
    <t>Người chính * 11.200</t>
  </si>
  <si>
    <t>Người phụ * 8.300</t>
  </si>
  <si>
    <t>Người giúp việc *5.000</t>
  </si>
  <si>
    <t>Huỳnh Thị Thanh Hải</t>
  </si>
  <si>
    <t>Lê Thị Minh Hương</t>
  </si>
  <si>
    <t>Võ Thị Bưởi</t>
  </si>
  <si>
    <t>SỞ Y TẾ TỈNH THỪA THIÊN HUẾ</t>
  </si>
  <si>
    <t xml:space="preserve">Thủ trưởng đơn vị </t>
  </si>
  <si>
    <t>Trần Duy Kiến</t>
  </si>
  <si>
    <t>Nguyễn Quốc Phương</t>
  </si>
  <si>
    <t>Trần Công Lĩnh</t>
  </si>
  <si>
    <t>Thái Văn Tuấn</t>
  </si>
  <si>
    <t>Lê Thị Ánh Tuyết</t>
  </si>
  <si>
    <t>Lê Thanh Tiến</t>
  </si>
  <si>
    <t>Trần Hữu Quang</t>
  </si>
  <si>
    <t>Nguyễn Hữu Tuấn</t>
  </si>
  <si>
    <t>Trần Lưu Quế</t>
  </si>
  <si>
    <t>Đỗ Tài</t>
  </si>
  <si>
    <t>Nguyễn Văn Phương</t>
  </si>
  <si>
    <t>Phan Thị Thanh Thúy</t>
  </si>
  <si>
    <t>Nguyễn Thị Hồng Nhi</t>
  </si>
  <si>
    <t>Bùi Nguyễn Quang Vũ</t>
  </si>
  <si>
    <t>Nguyễn Thị Nhân</t>
  </si>
  <si>
    <t>Trần Thị Mỹ Hương</t>
  </si>
  <si>
    <t>Trần Thị Ái Hằng</t>
  </si>
  <si>
    <t>Phan Thị Ngân Hoa</t>
  </si>
  <si>
    <t>Nguyễn Thị Mến</t>
  </si>
  <si>
    <t>Trần Thị Hiền</t>
  </si>
  <si>
    <t>Lê Thị Huyền Trang</t>
  </si>
  <si>
    <t>KHOA HSCC</t>
  </si>
  <si>
    <t>Trương Thị Hiếu</t>
  </si>
  <si>
    <t>Nguyễn Thị Hoài</t>
  </si>
  <si>
    <t>Phan Thị Thu Hà</t>
  </si>
  <si>
    <t>Lê Thị Lành</t>
  </si>
  <si>
    <t xml:space="preserve">DANH SÁCH CÁN BỘ NHẬN TIỀN PHẪU  THUẬT THEO QUYẾT ĐỊNH 73/2011 
CỦA THỦ TƯỚNG CHÍNH PHỦ </t>
  </si>
  <si>
    <t xml:space="preserve">Tháng 7 </t>
  </si>
  <si>
    <t>Tháng 8+9</t>
  </si>
  <si>
    <t>PHẪU THUẬT 2014 ( Từ tháng 7 đến tháng 12/2014)</t>
  </si>
  <si>
    <t>THỦ THUẬT 2014 ( từ tháng 7 đến tháng 12 năm 2014)</t>
  </si>
  <si>
    <t>Tháng 11</t>
  </si>
  <si>
    <t>Tháng 12</t>
  </si>
  <si>
    <t>Chênh lệch
 loại 1</t>
  </si>
  <si>
    <t>Theo
 155</t>
  </si>
  <si>
    <t>Chênh lệch 
loại 2</t>
  </si>
  <si>
    <t>Chênh lệch
 loại 3</t>
  </si>
  <si>
    <t xml:space="preserve">TTYT THỊ XÃ HƯƠNG TRÀ </t>
  </si>
  <si>
    <t>Hương trà, ngày   tháng    năm 2015</t>
  </si>
  <si>
    <t>Kế toán</t>
  </si>
  <si>
    <t>Người giúp việc *9.000</t>
  </si>
  <si>
    <t>T7</t>
  </si>
  <si>
    <t>T8</t>
  </si>
  <si>
    <t>T9</t>
  </si>
  <si>
    <t>T10</t>
  </si>
  <si>
    <t>T11</t>
  </si>
  <si>
    <t>T12</t>
  </si>
  <si>
    <t>Người chính * 25.900</t>
  </si>
  <si>
    <t>Người phụ * 18.700</t>
  </si>
  <si>
    <t>Người giúp việc *14.300</t>
  </si>
  <si>
    <t>TỪ THÁNG 7 ĐẾN THÁNG 12 NĂM 2014</t>
  </si>
  <si>
    <t>T8+T9</t>
  </si>
  <si>
    <t>Thủ thuật loại III</t>
  </si>
  <si>
    <t>Người chính * 8.400</t>
  </si>
  <si>
    <t>Người giúp việc *2.500</t>
  </si>
  <si>
    <t>Ghi chú:</t>
  </si>
  <si>
    <t xml:space="preserve">Tổng
 cộng </t>
  </si>
  <si>
    <t>TT
 Loại III
( Tháng 12)</t>
  </si>
  <si>
    <t xml:space="preserve">     TTYT THỊ XÃ HƯƠNG TRÀ </t>
  </si>
  <si>
    <t>Thủ thuật loại II</t>
  </si>
  <si>
    <t>Người phụ * 5.000</t>
  </si>
  <si>
    <t>Thủ thuật loại I</t>
  </si>
  <si>
    <t>Thủ Thuật loại III</t>
  </si>
  <si>
    <t xml:space="preserve">Dương Thị Thu </t>
  </si>
  <si>
    <t xml:space="preserve">Nguyễn Thị Ngọc Giao </t>
  </si>
  <si>
    <t>Nguyễn văn Phương</t>
  </si>
  <si>
    <t>Lê minh Hiếu</t>
  </si>
  <si>
    <t>Thủ Thuật  Loại I</t>
  </si>
  <si>
    <t xml:space="preserve">                                                                                                                               Thủ trưởng đơn vị </t>
  </si>
  <si>
    <t>KHOA SẢN</t>
  </si>
  <si>
    <t>Người chính * 90.000</t>
  </si>
  <si>
    <t>Người phụ * 65.000</t>
  </si>
  <si>
    <t>Người giúp việc *50.000</t>
  </si>
  <si>
    <t>Người chính *40.000</t>
  </si>
  <si>
    <t>Người phụ * 30.000</t>
  </si>
  <si>
    <t>Người giúp việc *18.000</t>
  </si>
  <si>
    <t>Người chính * 30.000</t>
  </si>
  <si>
    <t>Người phụ * 18.000</t>
  </si>
  <si>
    <t>Phẫu thuật loại II</t>
  </si>
  <si>
    <t>Phẫu thuật loại I</t>
  </si>
  <si>
    <t>Phẫu thuật loại III</t>
  </si>
  <si>
    <t>Phẫu Thuật  Loại I</t>
  </si>
  <si>
    <t>PT loại III</t>
  </si>
  <si>
    <t xml:space="preserve">DANH SÁCH CÁN BỘ NHẬN TIỀN PHẪU THUẬT THEO QUYẾT ĐỊNH 73/2011 
CỦA THỦ TƯỚNG CHÍNH PHỦ </t>
  </si>
  <si>
    <t>Thủ trưởng đơn vị</t>
  </si>
  <si>
    <t>Phẫu  Thuật loại III</t>
  </si>
  <si>
    <t>Trần Thị Ngọc Lan</t>
  </si>
  <si>
    <t>Dương Phan Huy Miên</t>
  </si>
  <si>
    <t>Lê Minh Hiếu</t>
  </si>
  <si>
    <t>Tống Thị Hoài Nhung</t>
  </si>
  <si>
    <t>Trần Thị Hạnh</t>
  </si>
  <si>
    <t>Nguyễn Văn Tư</t>
  </si>
  <si>
    <t>Nguyễn Văn Vinh</t>
  </si>
  <si>
    <t xml:space="preserve">Nguyễn Thị Xuân Lan </t>
  </si>
  <si>
    <t xml:space="preserve">Nguyễn Thị Mong </t>
  </si>
  <si>
    <t>Lê Thị Loan</t>
  </si>
  <si>
    <t>Thủ Thuật  Loại II</t>
  </si>
  <si>
    <t>Phan Thị Cát Tiên</t>
  </si>
  <si>
    <t>Phẫu Thuật loại III</t>
  </si>
  <si>
    <t>Phẫu  Thuật  Loại II</t>
  </si>
  <si>
    <t>Phẫu  Thuật  Loại I</t>
  </si>
  <si>
    <t xml:space="preserve">Dương phan Huy Miên </t>
  </si>
  <si>
    <t>Số tiền</t>
  </si>
  <si>
    <t>Ghi chú</t>
  </si>
  <si>
    <t>Số TK</t>
  </si>
  <si>
    <t>Lê Thị Ngọc Lan</t>
  </si>
  <si>
    <t>Kính gửi: Ngân hàng nông nghiệp và phát triền nông thôn Hương Trà</t>
  </si>
  <si>
    <t xml:space="preserve">DANH SÁCH CÁN BỘ NHẬN TIỀN PHẪU  THỦ THUẬT THEO QUYẾT ĐỊNH 73/2011 CỦA THỦ TƯỚNG CHÍNH PHỦ </t>
  </si>
  <si>
    <t>Hương trà, ngày      tháng       năm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</si>
</sst>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"/>
    <numFmt numFmtId="165" formatCode="_(* #.##0_);_(* \(#.##0\);_(* &quot;-&quot;_);_(@_)"/>
    <numFmt numFmtId="166" formatCode="_(* #.##0.0_);_(* \(#.##0.0\);_(* &quot;-&quot;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#,##0"/>
    <numFmt numFmtId="172" formatCode="_(* #.##0.00_);_(* \(#.##0.0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"/>
      <family val="2"/>
    </font>
    <font>
      <sz val="11"/>
      <color indexed="8"/>
      <name val="Times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1"/>
      <color indexed="8"/>
      <name val="Times"/>
      <family val="2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"/>
      <family val="2"/>
    </font>
    <font>
      <sz val="11"/>
      <color theme="1"/>
      <name val="Times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"/>
      <family val="2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6" fillId="33" borderId="0" xfId="0" applyFont="1" applyFill="1" applyAlignment="1">
      <alignment/>
    </xf>
    <xf numFmtId="0" fontId="57" fillId="0" borderId="0" xfId="0" applyFont="1" applyAlignment="1">
      <alignment/>
    </xf>
    <xf numFmtId="0" fontId="57" fillId="34" borderId="10" xfId="0" applyFont="1" applyFill="1" applyBorder="1" applyAlignment="1">
      <alignment horizontal="center" vertical="center"/>
    </xf>
    <xf numFmtId="3" fontId="57" fillId="33" borderId="11" xfId="0" applyNumberFormat="1" applyFont="1" applyFill="1" applyBorder="1" applyAlignment="1">
      <alignment/>
    </xf>
    <xf numFmtId="41" fontId="57" fillId="0" borderId="12" xfId="43" applyFont="1" applyBorder="1" applyAlignment="1">
      <alignment/>
    </xf>
    <xf numFmtId="41" fontId="57" fillId="0" borderId="13" xfId="43" applyFont="1" applyBorder="1" applyAlignment="1">
      <alignment/>
    </xf>
    <xf numFmtId="41" fontId="57" fillId="0" borderId="14" xfId="43" applyFont="1" applyBorder="1" applyAlignment="1">
      <alignment/>
    </xf>
    <xf numFmtId="41" fontId="57" fillId="0" borderId="15" xfId="43" applyFont="1" applyBorder="1" applyAlignment="1">
      <alignment/>
    </xf>
    <xf numFmtId="41" fontId="57" fillId="0" borderId="16" xfId="43" applyFont="1" applyBorder="1" applyAlignment="1">
      <alignment/>
    </xf>
    <xf numFmtId="41" fontId="57" fillId="0" borderId="17" xfId="43" applyFont="1" applyBorder="1" applyAlignment="1">
      <alignment/>
    </xf>
    <xf numFmtId="0" fontId="56" fillId="0" borderId="18" xfId="0" applyFont="1" applyBorder="1" applyAlignment="1">
      <alignment horizontal="center" vertical="center"/>
    </xf>
    <xf numFmtId="41" fontId="57" fillId="0" borderId="19" xfId="0" applyNumberFormat="1" applyFont="1" applyBorder="1" applyAlignment="1">
      <alignment/>
    </xf>
    <xf numFmtId="41" fontId="57" fillId="0" borderId="20" xfId="0" applyNumberFormat="1" applyFont="1" applyBorder="1" applyAlignment="1">
      <alignment/>
    </xf>
    <xf numFmtId="3" fontId="57" fillId="33" borderId="11" xfId="0" applyNumberFormat="1" applyFont="1" applyFill="1" applyBorder="1" applyAlignment="1">
      <alignment horizontal="center"/>
    </xf>
    <xf numFmtId="43" fontId="0" fillId="0" borderId="0" xfId="42" applyFont="1" applyAlignment="1">
      <alignment/>
    </xf>
    <xf numFmtId="0" fontId="58" fillId="35" borderId="21" xfId="0" applyFont="1" applyFill="1" applyBorder="1" applyAlignment="1">
      <alignment horizontal="center"/>
    </xf>
    <xf numFmtId="3" fontId="59" fillId="33" borderId="22" xfId="0" applyNumberFormat="1" applyFont="1" applyFill="1" applyBorder="1" applyAlignment="1">
      <alignment horizontal="center"/>
    </xf>
    <xf numFmtId="41" fontId="60" fillId="0" borderId="23" xfId="43" applyFont="1" applyBorder="1" applyAlignment="1">
      <alignment/>
    </xf>
    <xf numFmtId="41" fontId="60" fillId="0" borderId="24" xfId="43" applyFont="1" applyBorder="1" applyAlignment="1">
      <alignment/>
    </xf>
    <xf numFmtId="41" fontId="60" fillId="0" borderId="12" xfId="43" applyFont="1" applyBorder="1" applyAlignment="1">
      <alignment/>
    </xf>
    <xf numFmtId="41" fontId="60" fillId="0" borderId="25" xfId="43" applyFont="1" applyBorder="1" applyAlignment="1">
      <alignment/>
    </xf>
    <xf numFmtId="41" fontId="60" fillId="0" borderId="13" xfId="43" applyFont="1" applyBorder="1" applyAlignment="1">
      <alignment/>
    </xf>
    <xf numFmtId="41" fontId="60" fillId="0" borderId="26" xfId="43" applyFont="1" applyBorder="1" applyAlignment="1">
      <alignment/>
    </xf>
    <xf numFmtId="41" fontId="60" fillId="0" borderId="27" xfId="43" applyFont="1" applyBorder="1" applyAlignment="1">
      <alignment/>
    </xf>
    <xf numFmtId="3" fontId="59" fillId="33" borderId="28" xfId="0" applyNumberFormat="1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3" fontId="2" fillId="36" borderId="11" xfId="0" applyNumberFormat="1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 vertical="center"/>
    </xf>
    <xf numFmtId="41" fontId="61" fillId="37" borderId="29" xfId="43" applyFont="1" applyFill="1" applyBorder="1" applyAlignment="1">
      <alignment/>
    </xf>
    <xf numFmtId="41" fontId="61" fillId="37" borderId="11" xfId="43" applyFont="1" applyFill="1" applyBorder="1" applyAlignment="1">
      <alignment/>
    </xf>
    <xf numFmtId="0" fontId="58" fillId="35" borderId="18" xfId="0" applyFont="1" applyFill="1" applyBorder="1" applyAlignment="1">
      <alignment horizontal="center"/>
    </xf>
    <xf numFmtId="0" fontId="58" fillId="35" borderId="32" xfId="0" applyFont="1" applyFill="1" applyBorder="1" applyAlignment="1">
      <alignment horizontal="center"/>
    </xf>
    <xf numFmtId="41" fontId="58" fillId="35" borderId="19" xfId="43" applyFont="1" applyFill="1" applyBorder="1" applyAlignment="1">
      <alignment/>
    </xf>
    <xf numFmtId="0" fontId="58" fillId="0" borderId="18" xfId="0" applyFont="1" applyBorder="1" applyAlignment="1">
      <alignment horizontal="center"/>
    </xf>
    <xf numFmtId="0" fontId="58" fillId="0" borderId="32" xfId="0" applyFont="1" applyBorder="1" applyAlignment="1">
      <alignment horizontal="center"/>
    </xf>
    <xf numFmtId="41" fontId="58" fillId="0" borderId="33" xfId="43" applyFont="1" applyBorder="1" applyAlignment="1">
      <alignment/>
    </xf>
    <xf numFmtId="41" fontId="0" fillId="0" borderId="0" xfId="0" applyNumberFormat="1" applyAlignment="1">
      <alignment/>
    </xf>
    <xf numFmtId="0" fontId="0" fillId="38" borderId="0" xfId="0" applyFill="1" applyAlignment="1">
      <alignment/>
    </xf>
    <xf numFmtId="41" fontId="60" fillId="38" borderId="27" xfId="43" applyFont="1" applyFill="1" applyBorder="1" applyAlignment="1">
      <alignment/>
    </xf>
    <xf numFmtId="41" fontId="0" fillId="38" borderId="0" xfId="0" applyNumberFormat="1" applyFill="1" applyAlignment="1">
      <alignment/>
    </xf>
    <xf numFmtId="43" fontId="0" fillId="0" borderId="0" xfId="0" applyNumberFormat="1" applyAlignment="1">
      <alignment/>
    </xf>
    <xf numFmtId="0" fontId="62" fillId="0" borderId="0" xfId="0" applyFont="1" applyAlignment="1">
      <alignment/>
    </xf>
    <xf numFmtId="0" fontId="62" fillId="0" borderId="27" xfId="0" applyFont="1" applyBorder="1" applyAlignment="1">
      <alignment/>
    </xf>
    <xf numFmtId="0" fontId="62" fillId="0" borderId="34" xfId="0" applyFont="1" applyBorder="1" applyAlignment="1">
      <alignment/>
    </xf>
    <xf numFmtId="3" fontId="62" fillId="0" borderId="27" xfId="0" applyNumberFormat="1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/>
    </xf>
    <xf numFmtId="0" fontId="63" fillId="0" borderId="0" xfId="0" applyFont="1" applyAlignment="1">
      <alignment/>
    </xf>
    <xf numFmtId="0" fontId="62" fillId="0" borderId="23" xfId="0" applyFont="1" applyBorder="1" applyAlignment="1">
      <alignment horizontal="center"/>
    </xf>
    <xf numFmtId="3" fontId="62" fillId="0" borderId="12" xfId="0" applyNumberFormat="1" applyFont="1" applyBorder="1" applyAlignment="1">
      <alignment/>
    </xf>
    <xf numFmtId="0" fontId="62" fillId="0" borderId="26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19" xfId="0" applyFont="1" applyBorder="1" applyAlignment="1">
      <alignment/>
    </xf>
    <xf numFmtId="3" fontId="63" fillId="0" borderId="19" xfId="0" applyNumberFormat="1" applyFont="1" applyBorder="1" applyAlignment="1">
      <alignment/>
    </xf>
    <xf numFmtId="0" fontId="63" fillId="0" borderId="20" xfId="0" applyFont="1" applyBorder="1" applyAlignment="1">
      <alignment/>
    </xf>
    <xf numFmtId="0" fontId="63" fillId="0" borderId="22" xfId="0" applyFont="1" applyBorder="1" applyAlignment="1">
      <alignment vertical="center"/>
    </xf>
    <xf numFmtId="0" fontId="63" fillId="0" borderId="35" xfId="0" applyFont="1" applyBorder="1" applyAlignment="1">
      <alignment horizontal="left"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 horizontal="left"/>
    </xf>
    <xf numFmtId="41" fontId="58" fillId="0" borderId="20" xfId="43" applyFont="1" applyBorder="1" applyAlignment="1">
      <alignment/>
    </xf>
    <xf numFmtId="0" fontId="63" fillId="0" borderId="0" xfId="0" applyFont="1" applyBorder="1" applyAlignment="1">
      <alignment horizontal="left"/>
    </xf>
    <xf numFmtId="0" fontId="65" fillId="0" borderId="36" xfId="0" applyFont="1" applyBorder="1" applyAlignment="1">
      <alignment horizontal="center" wrapText="1"/>
    </xf>
    <xf numFmtId="0" fontId="65" fillId="0" borderId="37" xfId="0" applyFont="1" applyBorder="1" applyAlignment="1">
      <alignment horizontal="center" wrapText="1"/>
    </xf>
    <xf numFmtId="0" fontId="65" fillId="0" borderId="38" xfId="0" applyFont="1" applyBorder="1" applyAlignment="1">
      <alignment horizontal="center" wrapText="1"/>
    </xf>
    <xf numFmtId="3" fontId="57" fillId="0" borderId="22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57" fillId="0" borderId="40" xfId="0" applyFont="1" applyBorder="1" applyAlignment="1">
      <alignment/>
    </xf>
    <xf numFmtId="3" fontId="57" fillId="0" borderId="41" xfId="0" applyNumberFormat="1" applyFont="1" applyBorder="1" applyAlignment="1">
      <alignment/>
    </xf>
    <xf numFmtId="0" fontId="0" fillId="0" borderId="41" xfId="0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57" fillId="0" borderId="26" xfId="0" applyFont="1" applyBorder="1" applyAlignment="1">
      <alignment/>
    </xf>
    <xf numFmtId="3" fontId="57" fillId="0" borderId="27" xfId="0" applyNumberFormat="1" applyFont="1" applyBorder="1" applyAlignment="1">
      <alignment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57" fillId="0" borderId="43" xfId="0" applyFont="1" applyBorder="1" applyAlignment="1">
      <alignment/>
    </xf>
    <xf numFmtId="3" fontId="57" fillId="0" borderId="44" xfId="0" applyNumberFormat="1" applyFont="1" applyBorder="1" applyAlignment="1">
      <alignment/>
    </xf>
    <xf numFmtId="0" fontId="0" fillId="0" borderId="44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3" fontId="57" fillId="0" borderId="46" xfId="0" applyNumberFormat="1" applyFont="1" applyBorder="1" applyAlignment="1">
      <alignment/>
    </xf>
    <xf numFmtId="3" fontId="57" fillId="0" borderId="47" xfId="0" applyNumberFormat="1" applyFont="1" applyBorder="1" applyAlignment="1">
      <alignment/>
    </xf>
    <xf numFmtId="3" fontId="56" fillId="0" borderId="48" xfId="0" applyNumberFormat="1" applyFont="1" applyBorder="1" applyAlignment="1">
      <alignment/>
    </xf>
    <xf numFmtId="3" fontId="56" fillId="0" borderId="46" xfId="0" applyNumberFormat="1" applyFont="1" applyBorder="1" applyAlignment="1">
      <alignment/>
    </xf>
    <xf numFmtId="3" fontId="57" fillId="38" borderId="49" xfId="0" applyNumberFormat="1" applyFont="1" applyFill="1" applyBorder="1" applyAlignment="1">
      <alignment/>
    </xf>
    <xf numFmtId="3" fontId="57" fillId="38" borderId="22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6" fillId="0" borderId="36" xfId="0" applyFont="1" applyBorder="1" applyAlignment="1">
      <alignment horizontal="center" wrapText="1"/>
    </xf>
    <xf numFmtId="0" fontId="66" fillId="0" borderId="37" xfId="0" applyFont="1" applyBorder="1" applyAlignment="1">
      <alignment horizontal="center" wrapText="1"/>
    </xf>
    <xf numFmtId="0" fontId="66" fillId="0" borderId="38" xfId="0" applyFont="1" applyBorder="1" applyAlignment="1">
      <alignment horizontal="center" wrapText="1"/>
    </xf>
    <xf numFmtId="0" fontId="60" fillId="0" borderId="49" xfId="0" applyFont="1" applyBorder="1" applyAlignment="1">
      <alignment/>
    </xf>
    <xf numFmtId="3" fontId="60" fillId="0" borderId="22" xfId="0" applyNumberFormat="1" applyFont="1" applyBorder="1" applyAlignment="1">
      <alignment/>
    </xf>
    <xf numFmtId="0" fontId="60" fillId="0" borderId="22" xfId="0" applyFont="1" applyBorder="1" applyAlignment="1">
      <alignment/>
    </xf>
    <xf numFmtId="3" fontId="60" fillId="0" borderId="39" xfId="0" applyNumberFormat="1" applyFont="1" applyBorder="1" applyAlignment="1">
      <alignment/>
    </xf>
    <xf numFmtId="172" fontId="60" fillId="0" borderId="0" xfId="0" applyNumberFormat="1" applyFont="1" applyAlignment="1">
      <alignment/>
    </xf>
    <xf numFmtId="3" fontId="60" fillId="0" borderId="49" xfId="0" applyNumberFormat="1" applyFont="1" applyBorder="1" applyAlignment="1">
      <alignment/>
    </xf>
    <xf numFmtId="3" fontId="58" fillId="0" borderId="48" xfId="0" applyNumberFormat="1" applyFont="1" applyBorder="1" applyAlignment="1">
      <alignment/>
    </xf>
    <xf numFmtId="3" fontId="60" fillId="0" borderId="46" xfId="0" applyNumberFormat="1" applyFont="1" applyBorder="1" applyAlignment="1">
      <alignment/>
    </xf>
    <xf numFmtId="3" fontId="58" fillId="0" borderId="46" xfId="0" applyNumberFormat="1" applyFont="1" applyBorder="1" applyAlignment="1">
      <alignment/>
    </xf>
    <xf numFmtId="3" fontId="60" fillId="0" borderId="47" xfId="0" applyNumberFormat="1" applyFont="1" applyBorder="1" applyAlignment="1">
      <alignment/>
    </xf>
    <xf numFmtId="0" fontId="62" fillId="0" borderId="0" xfId="0" applyFont="1" applyAlignment="1">
      <alignment horizontal="center"/>
    </xf>
    <xf numFmtId="0" fontId="63" fillId="0" borderId="22" xfId="0" applyFont="1" applyBorder="1" applyAlignment="1">
      <alignment horizontal="center" vertical="center"/>
    </xf>
    <xf numFmtId="172" fontId="62" fillId="0" borderId="0" xfId="0" applyNumberFormat="1" applyFont="1" applyAlignment="1">
      <alignment/>
    </xf>
    <xf numFmtId="0" fontId="63" fillId="0" borderId="50" xfId="0" applyFont="1" applyBorder="1" applyAlignment="1">
      <alignment horizontal="center" vertical="center"/>
    </xf>
    <xf numFmtId="0" fontId="63" fillId="0" borderId="51" xfId="0" applyFont="1" applyBorder="1" applyAlignment="1">
      <alignment vertical="center"/>
    </xf>
    <xf numFmtId="0" fontId="63" fillId="0" borderId="0" xfId="0" applyFont="1" applyBorder="1" applyAlignment="1">
      <alignment/>
    </xf>
    <xf numFmtId="3" fontId="63" fillId="0" borderId="0" xfId="0" applyNumberFormat="1" applyFont="1" applyBorder="1" applyAlignment="1">
      <alignment/>
    </xf>
    <xf numFmtId="0" fontId="63" fillId="0" borderId="52" xfId="0" applyFont="1" applyBorder="1" applyAlignment="1">
      <alignment horizontal="center"/>
    </xf>
    <xf numFmtId="0" fontId="63" fillId="0" borderId="52" xfId="0" applyFont="1" applyBorder="1" applyAlignment="1">
      <alignment/>
    </xf>
    <xf numFmtId="0" fontId="63" fillId="0" borderId="22" xfId="0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0" fontId="62" fillId="0" borderId="53" xfId="0" applyFont="1" applyBorder="1" applyAlignment="1">
      <alignment horizontal="center"/>
    </xf>
    <xf numFmtId="0" fontId="62" fillId="0" borderId="54" xfId="0" applyFont="1" applyBorder="1" applyAlignment="1">
      <alignment/>
    </xf>
    <xf numFmtId="3" fontId="62" fillId="0" borderId="54" xfId="0" applyNumberFormat="1" applyFont="1" applyBorder="1" applyAlignment="1">
      <alignment/>
    </xf>
    <xf numFmtId="0" fontId="62" fillId="0" borderId="55" xfId="0" applyFont="1" applyBorder="1" applyAlignment="1">
      <alignment/>
    </xf>
    <xf numFmtId="0" fontId="63" fillId="0" borderId="37" xfId="0" applyFont="1" applyBorder="1" applyAlignment="1">
      <alignment vertical="center"/>
    </xf>
    <xf numFmtId="0" fontId="63" fillId="0" borderId="50" xfId="0" applyFont="1" applyBorder="1" applyAlignment="1">
      <alignment horizontal="center" vertical="center"/>
    </xf>
    <xf numFmtId="0" fontId="63" fillId="0" borderId="0" xfId="0" applyFont="1" applyBorder="1" applyAlignment="1">
      <alignment horizontal="left"/>
    </xf>
    <xf numFmtId="3" fontId="62" fillId="0" borderId="0" xfId="0" applyNumberFormat="1" applyFont="1" applyAlignment="1">
      <alignment/>
    </xf>
    <xf numFmtId="3" fontId="63" fillId="0" borderId="0" xfId="0" applyNumberFormat="1" applyFont="1" applyAlignment="1">
      <alignment/>
    </xf>
    <xf numFmtId="0" fontId="63" fillId="0" borderId="56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57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38" borderId="27" xfId="0" applyFont="1" applyFill="1" applyBorder="1" applyAlignment="1">
      <alignment/>
    </xf>
    <xf numFmtId="3" fontId="62" fillId="38" borderId="27" xfId="0" applyNumberFormat="1" applyFont="1" applyFill="1" applyBorder="1" applyAlignment="1">
      <alignment/>
    </xf>
    <xf numFmtId="0" fontId="68" fillId="0" borderId="0" xfId="0" applyFont="1" applyAlignment="1">
      <alignment wrapText="1"/>
    </xf>
    <xf numFmtId="0" fontId="68" fillId="0" borderId="0" xfId="0" applyFont="1" applyAlignment="1">
      <alignment/>
    </xf>
    <xf numFmtId="0" fontId="68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63" fillId="0" borderId="19" xfId="0" applyFont="1" applyBorder="1" applyAlignment="1">
      <alignment horizontal="center"/>
    </xf>
    <xf numFmtId="41" fontId="69" fillId="0" borderId="12" xfId="43" applyFont="1" applyBorder="1" applyAlignment="1">
      <alignment/>
    </xf>
    <xf numFmtId="0" fontId="57" fillId="34" borderId="57" xfId="0" applyFont="1" applyFill="1" applyBorder="1" applyAlignment="1">
      <alignment horizontal="center" vertical="center"/>
    </xf>
    <xf numFmtId="0" fontId="57" fillId="34" borderId="31" xfId="0" applyFont="1" applyFill="1" applyBorder="1" applyAlignment="1">
      <alignment horizontal="center" vertical="center"/>
    </xf>
    <xf numFmtId="0" fontId="57" fillId="34" borderId="58" xfId="0" applyFont="1" applyFill="1" applyBorder="1" applyAlignment="1">
      <alignment horizontal="center" vertical="center" wrapText="1"/>
    </xf>
    <xf numFmtId="0" fontId="57" fillId="34" borderId="59" xfId="0" applyFont="1" applyFill="1" applyBorder="1" applyAlignment="1">
      <alignment horizontal="center" vertical="center" wrapText="1"/>
    </xf>
    <xf numFmtId="0" fontId="57" fillId="34" borderId="60" xfId="0" applyFont="1" applyFill="1" applyBorder="1" applyAlignment="1">
      <alignment horizontal="center" vertical="center" wrapText="1"/>
    </xf>
    <xf numFmtId="0" fontId="58" fillId="35" borderId="28" xfId="0" applyFont="1" applyFill="1" applyBorder="1" applyAlignment="1">
      <alignment horizontal="center" vertical="center" wrapText="1"/>
    </xf>
    <xf numFmtId="0" fontId="58" fillId="35" borderId="61" xfId="0" applyFont="1" applyFill="1" applyBorder="1" applyAlignment="1">
      <alignment horizontal="center" vertical="center"/>
    </xf>
    <xf numFmtId="0" fontId="61" fillId="37" borderId="28" xfId="0" applyFont="1" applyFill="1" applyBorder="1" applyAlignment="1">
      <alignment horizontal="center" vertical="center"/>
    </xf>
    <xf numFmtId="0" fontId="61" fillId="37" borderId="61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58" fillId="39" borderId="58" xfId="0" applyFont="1" applyFill="1" applyBorder="1" applyAlignment="1">
      <alignment horizontal="center" vertical="center"/>
    </xf>
    <xf numFmtId="0" fontId="58" fillId="39" borderId="59" xfId="0" applyFont="1" applyFill="1" applyBorder="1" applyAlignment="1">
      <alignment horizontal="center" vertical="center"/>
    </xf>
    <xf numFmtId="0" fontId="58" fillId="40" borderId="62" xfId="0" applyFont="1" applyFill="1" applyBorder="1" applyAlignment="1">
      <alignment horizontal="center" vertical="center" wrapText="1"/>
    </xf>
    <xf numFmtId="0" fontId="58" fillId="40" borderId="61" xfId="0" applyFont="1" applyFill="1" applyBorder="1" applyAlignment="1">
      <alignment horizontal="center" vertical="center"/>
    </xf>
    <xf numFmtId="0" fontId="60" fillId="33" borderId="51" xfId="0" applyFont="1" applyFill="1" applyBorder="1" applyAlignment="1">
      <alignment horizontal="center"/>
    </xf>
    <xf numFmtId="0" fontId="60" fillId="33" borderId="63" xfId="0" applyFont="1" applyFill="1" applyBorder="1" applyAlignment="1">
      <alignment horizontal="center"/>
    </xf>
    <xf numFmtId="0" fontId="60" fillId="33" borderId="64" xfId="0" applyFont="1" applyFill="1" applyBorder="1" applyAlignment="1">
      <alignment horizontal="center"/>
    </xf>
    <xf numFmtId="0" fontId="58" fillId="35" borderId="65" xfId="0" applyFont="1" applyFill="1" applyBorder="1" applyAlignment="1">
      <alignment horizontal="center" vertical="center"/>
    </xf>
    <xf numFmtId="0" fontId="58" fillId="35" borderId="66" xfId="0" applyFont="1" applyFill="1" applyBorder="1" applyAlignment="1">
      <alignment horizontal="center" vertical="center"/>
    </xf>
    <xf numFmtId="0" fontId="58" fillId="34" borderId="67" xfId="0" applyFont="1" applyFill="1" applyBorder="1" applyAlignment="1">
      <alignment horizontal="center" vertical="center" wrapText="1"/>
    </xf>
    <xf numFmtId="0" fontId="58" fillId="34" borderId="67" xfId="0" applyFont="1" applyFill="1" applyBorder="1" applyAlignment="1">
      <alignment horizontal="center" vertical="center"/>
    </xf>
    <xf numFmtId="0" fontId="60" fillId="38" borderId="68" xfId="0" applyFont="1" applyFill="1" applyBorder="1" applyAlignment="1">
      <alignment horizontal="center"/>
    </xf>
    <xf numFmtId="0" fontId="60" fillId="38" borderId="69" xfId="0" applyFont="1" applyFill="1" applyBorder="1" applyAlignment="1">
      <alignment horizontal="center"/>
    </xf>
    <xf numFmtId="0" fontId="60" fillId="38" borderId="70" xfId="0" applyFont="1" applyFill="1" applyBorder="1" applyAlignment="1">
      <alignment horizontal="center"/>
    </xf>
    <xf numFmtId="0" fontId="60" fillId="38" borderId="71" xfId="0" applyFont="1" applyFill="1" applyBorder="1" applyAlignment="1">
      <alignment horizontal="center"/>
    </xf>
    <xf numFmtId="0" fontId="60" fillId="38" borderId="0" xfId="0" applyFont="1" applyFill="1" applyBorder="1" applyAlignment="1">
      <alignment horizontal="center"/>
    </xf>
    <xf numFmtId="0" fontId="60" fillId="38" borderId="72" xfId="0" applyFont="1" applyFill="1" applyBorder="1" applyAlignment="1">
      <alignment horizontal="center"/>
    </xf>
    <xf numFmtId="0" fontId="60" fillId="38" borderId="73" xfId="0" applyFont="1" applyFill="1" applyBorder="1" applyAlignment="1">
      <alignment horizontal="center"/>
    </xf>
    <xf numFmtId="0" fontId="60" fillId="38" borderId="74" xfId="0" applyFont="1" applyFill="1" applyBorder="1" applyAlignment="1">
      <alignment horizontal="center"/>
    </xf>
    <xf numFmtId="0" fontId="60" fillId="38" borderId="75" xfId="0" applyFont="1" applyFill="1" applyBorder="1" applyAlignment="1">
      <alignment horizontal="center"/>
    </xf>
    <xf numFmtId="0" fontId="60" fillId="0" borderId="68" xfId="0" applyFont="1" applyBorder="1" applyAlignment="1">
      <alignment horizontal="center"/>
    </xf>
    <xf numFmtId="0" fontId="60" fillId="0" borderId="69" xfId="0" applyFont="1" applyBorder="1" applyAlignment="1">
      <alignment horizontal="center"/>
    </xf>
    <xf numFmtId="0" fontId="60" fillId="0" borderId="70" xfId="0" applyFont="1" applyBorder="1" applyAlignment="1">
      <alignment horizontal="center"/>
    </xf>
    <xf numFmtId="0" fontId="60" fillId="0" borderId="71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72" xfId="0" applyFont="1" applyBorder="1" applyAlignment="1">
      <alignment horizontal="center"/>
    </xf>
    <xf numFmtId="0" fontId="60" fillId="0" borderId="73" xfId="0" applyFont="1" applyBorder="1" applyAlignment="1">
      <alignment horizontal="center"/>
    </xf>
    <xf numFmtId="0" fontId="60" fillId="0" borderId="74" xfId="0" applyFont="1" applyBorder="1" applyAlignment="1">
      <alignment horizontal="center"/>
    </xf>
    <xf numFmtId="0" fontId="60" fillId="0" borderId="75" xfId="0" applyFont="1" applyBorder="1" applyAlignment="1">
      <alignment horizontal="center"/>
    </xf>
    <xf numFmtId="0" fontId="58" fillId="35" borderId="76" xfId="0" applyFont="1" applyFill="1" applyBorder="1" applyAlignment="1">
      <alignment horizontal="center" vertical="center"/>
    </xf>
    <xf numFmtId="0" fontId="58" fillId="35" borderId="67" xfId="0" applyFont="1" applyFill="1" applyBorder="1" applyAlignment="1">
      <alignment horizontal="center" vertical="center" wrapText="1"/>
    </xf>
    <xf numFmtId="0" fontId="58" fillId="35" borderId="77" xfId="0" applyFont="1" applyFill="1" applyBorder="1" applyAlignment="1">
      <alignment horizontal="center" vertical="center"/>
    </xf>
    <xf numFmtId="0" fontId="58" fillId="35" borderId="58" xfId="0" applyFont="1" applyFill="1" applyBorder="1" applyAlignment="1">
      <alignment horizontal="center" vertical="center"/>
    </xf>
    <xf numFmtId="0" fontId="58" fillId="35" borderId="59" xfId="0" applyFont="1" applyFill="1" applyBorder="1" applyAlignment="1">
      <alignment horizontal="center" vertical="center"/>
    </xf>
    <xf numFmtId="0" fontId="58" fillId="35" borderId="78" xfId="0" applyFont="1" applyFill="1" applyBorder="1" applyAlignment="1">
      <alignment horizontal="center" vertical="center"/>
    </xf>
    <xf numFmtId="0" fontId="58" fillId="35" borderId="79" xfId="0" applyFont="1" applyFill="1" applyBorder="1" applyAlignment="1">
      <alignment vertical="center"/>
    </xf>
    <xf numFmtId="0" fontId="58" fillId="35" borderId="80" xfId="0" applyFont="1" applyFill="1" applyBorder="1" applyAlignment="1">
      <alignment vertical="center"/>
    </xf>
    <xf numFmtId="0" fontId="58" fillId="35" borderId="28" xfId="0" applyFont="1" applyFill="1" applyBorder="1" applyAlignment="1">
      <alignment horizontal="center" vertical="center"/>
    </xf>
    <xf numFmtId="0" fontId="58" fillId="35" borderId="54" xfId="0" applyFont="1" applyFill="1" applyBorder="1" applyAlignment="1">
      <alignment horizontal="center" vertical="center"/>
    </xf>
    <xf numFmtId="0" fontId="58" fillId="35" borderId="21" xfId="0" applyFont="1" applyFill="1" applyBorder="1" applyAlignment="1">
      <alignment horizontal="center" vertical="center"/>
    </xf>
    <xf numFmtId="0" fontId="58" fillId="35" borderId="62" xfId="0" applyFont="1" applyFill="1" applyBorder="1" applyAlignment="1">
      <alignment horizontal="center" vertical="center" wrapText="1"/>
    </xf>
    <xf numFmtId="0" fontId="63" fillId="0" borderId="65" xfId="0" applyFont="1" applyBorder="1" applyAlignment="1">
      <alignment horizontal="center" vertical="center" wrapText="1"/>
    </xf>
    <xf numFmtId="0" fontId="63" fillId="0" borderId="76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63" fillId="0" borderId="0" xfId="0" applyFont="1" applyBorder="1" applyAlignment="1">
      <alignment horizontal="left"/>
    </xf>
    <xf numFmtId="0" fontId="63" fillId="0" borderId="58" xfId="0" applyFont="1" applyBorder="1" applyAlignment="1">
      <alignment horizontal="center" vertical="center"/>
    </xf>
    <xf numFmtId="0" fontId="63" fillId="0" borderId="78" xfId="0" applyFont="1" applyBorder="1" applyAlignment="1">
      <alignment horizontal="center" vertical="center"/>
    </xf>
    <xf numFmtId="0" fontId="63" fillId="0" borderId="62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62" xfId="0" applyFont="1" applyBorder="1" applyAlignment="1">
      <alignment horizontal="center" vertical="center" wrapText="1"/>
    </xf>
    <xf numFmtId="0" fontId="63" fillId="0" borderId="81" xfId="0" applyFont="1" applyBorder="1" applyAlignment="1">
      <alignment horizontal="center" vertical="center"/>
    </xf>
    <xf numFmtId="0" fontId="63" fillId="0" borderId="52" xfId="0" applyFont="1" applyBorder="1" applyAlignment="1">
      <alignment horizontal="center" vertical="center"/>
    </xf>
    <xf numFmtId="0" fontId="63" fillId="0" borderId="50" xfId="0" applyFont="1" applyBorder="1" applyAlignment="1">
      <alignment horizontal="center" vertical="center"/>
    </xf>
    <xf numFmtId="0" fontId="63" fillId="0" borderId="0" xfId="0" applyFont="1" applyAlignment="1">
      <alignment horizontal="left"/>
    </xf>
    <xf numFmtId="0" fontId="63" fillId="0" borderId="82" xfId="0" applyFont="1" applyBorder="1" applyAlignment="1">
      <alignment horizontal="center" vertical="center"/>
    </xf>
    <xf numFmtId="0" fontId="63" fillId="0" borderId="83" xfId="0" applyFont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63" fillId="0" borderId="50" xfId="0" applyFont="1" applyBorder="1" applyAlignment="1">
      <alignment horizontal="center" vertical="center" wrapText="1"/>
    </xf>
    <xf numFmtId="0" fontId="63" fillId="0" borderId="77" xfId="0" applyFont="1" applyBorder="1" applyAlignment="1">
      <alignment horizontal="center" vertical="center" wrapText="1"/>
    </xf>
    <xf numFmtId="0" fontId="64" fillId="0" borderId="0" xfId="0" applyFont="1" applyAlignment="1">
      <alignment horizontal="right"/>
    </xf>
    <xf numFmtId="0" fontId="63" fillId="0" borderId="51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0" fontId="63" fillId="0" borderId="64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68" fillId="0" borderId="0" xfId="0" applyFont="1" applyBorder="1" applyAlignment="1">
      <alignment horizontal="center" wrapText="1"/>
    </xf>
    <xf numFmtId="0" fontId="70" fillId="0" borderId="0" xfId="0" applyFont="1" applyBorder="1" applyAlignment="1">
      <alignment horizontal="left" wrapText="1"/>
    </xf>
    <xf numFmtId="41" fontId="69" fillId="0" borderId="27" xfId="43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"/>
  <sheetViews>
    <sheetView zoomScalePageLayoutView="0" workbookViewId="0" topLeftCell="B1">
      <selection activeCell="J14" sqref="J14"/>
    </sheetView>
  </sheetViews>
  <sheetFormatPr defaultColWidth="9.140625" defaultRowHeight="15"/>
  <cols>
    <col min="1" max="1" width="25.421875" style="0" customWidth="1"/>
    <col min="2" max="2" width="12.140625" style="0" customWidth="1"/>
    <col min="3" max="4" width="12.8515625" style="0" customWidth="1"/>
    <col min="5" max="5" width="14.00390625" style="0" customWidth="1"/>
    <col min="7" max="7" width="15.7109375" style="0" bestFit="1" customWidth="1"/>
    <col min="9" max="9" width="15.57421875" style="0" customWidth="1"/>
    <col min="11" max="11" width="13.57421875" style="0" customWidth="1"/>
  </cols>
  <sheetData>
    <row r="1" spans="1:7" ht="16.5" thickBot="1">
      <c r="A1" s="2" t="s">
        <v>8</v>
      </c>
      <c r="B1" s="3"/>
      <c r="C1" s="3"/>
      <c r="D1" s="3"/>
      <c r="E1" s="3"/>
      <c r="F1" s="3"/>
      <c r="G1" s="3"/>
    </row>
    <row r="2" spans="1:11" ht="45.75" customHeight="1" thickBot="1" thickTop="1">
      <c r="A2" s="146" t="s">
        <v>7</v>
      </c>
      <c r="B2" s="4" t="s">
        <v>4</v>
      </c>
      <c r="C2" s="4" t="s">
        <v>5</v>
      </c>
      <c r="D2" s="4" t="s">
        <v>6</v>
      </c>
      <c r="E2" s="144" t="s">
        <v>3</v>
      </c>
      <c r="F2" s="66" t="s">
        <v>83</v>
      </c>
      <c r="G2" s="67" t="s">
        <v>82</v>
      </c>
      <c r="H2" s="67" t="s">
        <v>83</v>
      </c>
      <c r="I2" s="67" t="s">
        <v>84</v>
      </c>
      <c r="J2" s="67" t="s">
        <v>83</v>
      </c>
      <c r="K2" s="68" t="s">
        <v>85</v>
      </c>
    </row>
    <row r="3" spans="1:11" ht="16.5" thickBot="1">
      <c r="A3" s="147"/>
      <c r="B3" s="5">
        <v>125000</v>
      </c>
      <c r="C3" s="5">
        <v>65000</v>
      </c>
      <c r="D3" s="5">
        <v>50000</v>
      </c>
      <c r="E3" s="145"/>
      <c r="F3" s="69">
        <v>35000</v>
      </c>
      <c r="G3" s="69">
        <f>B3-F3</f>
        <v>90000</v>
      </c>
      <c r="H3" s="69">
        <v>25000</v>
      </c>
      <c r="I3" s="70">
        <f>C3-H3</f>
        <v>40000</v>
      </c>
      <c r="J3" s="69">
        <v>20000</v>
      </c>
      <c r="K3" s="71">
        <f>D3-J3</f>
        <v>30000</v>
      </c>
    </row>
    <row r="4" spans="1:11" ht="15.75">
      <c r="A4" s="147"/>
      <c r="B4" s="6"/>
      <c r="C4" s="6"/>
      <c r="D4" s="6"/>
      <c r="E4" s="7"/>
      <c r="F4" s="72"/>
      <c r="G4" s="73"/>
      <c r="H4" s="74"/>
      <c r="I4" s="75"/>
      <c r="J4" s="74"/>
      <c r="K4" s="76"/>
    </row>
    <row r="5" spans="1:11" ht="16.5" thickBot="1">
      <c r="A5" s="148"/>
      <c r="B5" s="8">
        <f>B3*B4</f>
        <v>0</v>
      </c>
      <c r="C5" s="8">
        <f>C3*C4</f>
        <v>0</v>
      </c>
      <c r="D5" s="8">
        <f>D3*D4</f>
        <v>0</v>
      </c>
      <c r="E5" s="9">
        <f>B5+C5+D5</f>
        <v>0</v>
      </c>
      <c r="F5" s="77"/>
      <c r="G5" s="78"/>
      <c r="H5" s="79"/>
      <c r="I5" s="80"/>
      <c r="J5" s="79"/>
      <c r="K5" s="81"/>
    </row>
    <row r="6" spans="1:11" ht="17.25" thickBot="1" thickTop="1">
      <c r="A6" s="146" t="s">
        <v>9</v>
      </c>
      <c r="B6" s="4" t="s">
        <v>4</v>
      </c>
      <c r="C6" s="4" t="s">
        <v>5</v>
      </c>
      <c r="D6" s="4" t="s">
        <v>6</v>
      </c>
      <c r="E6" s="144" t="s">
        <v>3</v>
      </c>
      <c r="F6" s="82"/>
      <c r="G6" s="83"/>
      <c r="H6" s="84"/>
      <c r="I6" s="85"/>
      <c r="J6" s="84"/>
      <c r="K6" s="86"/>
    </row>
    <row r="7" spans="1:11" ht="16.5" thickBot="1">
      <c r="A7" s="147"/>
      <c r="B7" s="5">
        <v>90000</v>
      </c>
      <c r="C7" s="5">
        <v>50000</v>
      </c>
      <c r="D7" s="5">
        <v>30000</v>
      </c>
      <c r="E7" s="145"/>
      <c r="F7" s="69">
        <v>25000</v>
      </c>
      <c r="G7" s="69">
        <f>B7-F7</f>
        <v>65000</v>
      </c>
      <c r="H7" s="69">
        <v>20000</v>
      </c>
      <c r="I7" s="70">
        <f>C7-H7</f>
        <v>30000</v>
      </c>
      <c r="J7" s="69">
        <v>12000</v>
      </c>
      <c r="K7" s="71">
        <f>D7-J7</f>
        <v>18000</v>
      </c>
    </row>
    <row r="8" spans="1:11" ht="15.75">
      <c r="A8" s="147"/>
      <c r="B8" s="6"/>
      <c r="C8" s="6"/>
      <c r="D8" s="6"/>
      <c r="E8" s="7"/>
      <c r="F8" s="72"/>
      <c r="G8" s="73"/>
      <c r="H8" s="74"/>
      <c r="I8" s="75"/>
      <c r="J8" s="74"/>
      <c r="K8" s="76"/>
    </row>
    <row r="9" spans="1:11" ht="16.5" thickBot="1">
      <c r="A9" s="148"/>
      <c r="B9" s="8">
        <f>B7*B8</f>
        <v>0</v>
      </c>
      <c r="C9" s="8">
        <f>C7*C8</f>
        <v>0</v>
      </c>
      <c r="D9" s="8">
        <f>D7*D8</f>
        <v>0</v>
      </c>
      <c r="E9" s="9">
        <f>B9+C9+D9</f>
        <v>0</v>
      </c>
      <c r="F9" s="77"/>
      <c r="G9" s="78"/>
      <c r="H9" s="79"/>
      <c r="I9" s="80"/>
      <c r="J9" s="79"/>
      <c r="K9" s="81"/>
    </row>
    <row r="10" spans="1:11" ht="17.25" thickBot="1" thickTop="1">
      <c r="A10" s="146" t="s">
        <v>10</v>
      </c>
      <c r="B10" s="4" t="s">
        <v>4</v>
      </c>
      <c r="C10" s="4" t="s">
        <v>5</v>
      </c>
      <c r="D10" s="4" t="s">
        <v>6</v>
      </c>
      <c r="E10" s="144" t="s">
        <v>3</v>
      </c>
      <c r="F10" s="87"/>
      <c r="G10" s="83"/>
      <c r="H10" s="84"/>
      <c r="I10" s="85"/>
      <c r="J10" s="84"/>
      <c r="K10" s="86"/>
    </row>
    <row r="11" spans="1:11" ht="16.5" thickBot="1">
      <c r="A11" s="147"/>
      <c r="B11" s="5">
        <v>70000</v>
      </c>
      <c r="C11" s="5">
        <v>30000</v>
      </c>
      <c r="D11" s="5">
        <v>15000</v>
      </c>
      <c r="E11" s="145"/>
      <c r="F11" s="95">
        <v>20000</v>
      </c>
      <c r="G11" s="96">
        <f>B11-F11</f>
        <v>50000</v>
      </c>
      <c r="H11" s="96">
        <v>12000</v>
      </c>
      <c r="I11" s="70">
        <f>C11-H11</f>
        <v>18000</v>
      </c>
      <c r="J11" s="69">
        <v>6000</v>
      </c>
      <c r="K11" s="71">
        <f>D11-J11</f>
        <v>9000</v>
      </c>
    </row>
    <row r="12" spans="1:11" ht="15.75">
      <c r="A12" s="147"/>
      <c r="B12" s="6"/>
      <c r="C12" s="6"/>
      <c r="D12" s="6"/>
      <c r="E12" s="7"/>
      <c r="F12" s="88"/>
      <c r="G12" s="74"/>
      <c r="H12" s="74"/>
      <c r="I12" s="74"/>
      <c r="J12" s="74"/>
      <c r="K12" s="89"/>
    </row>
    <row r="13" spans="1:11" ht="16.5" thickBot="1">
      <c r="A13" s="147"/>
      <c r="B13" s="10">
        <f>B11*B12</f>
        <v>0</v>
      </c>
      <c r="C13" s="10">
        <f>C11*C12</f>
        <v>0</v>
      </c>
      <c r="D13" s="10">
        <f>D11*D12</f>
        <v>0</v>
      </c>
      <c r="E13" s="11">
        <f>B13+C13+D13</f>
        <v>0</v>
      </c>
      <c r="F13" s="87"/>
      <c r="G13" s="84"/>
      <c r="H13" s="84"/>
      <c r="I13" s="84"/>
      <c r="J13" s="84"/>
      <c r="K13" s="90"/>
    </row>
    <row r="14" spans="1:11" s="3" customFormat="1" ht="16.5" thickBot="1">
      <c r="A14" s="12" t="s">
        <v>3</v>
      </c>
      <c r="B14" s="13">
        <f>B3+B7+B11</f>
        <v>285000</v>
      </c>
      <c r="C14" s="13">
        <f>C3+C7+C11</f>
        <v>145000</v>
      </c>
      <c r="D14" s="13">
        <f>D3+D7+D11</f>
        <v>95000</v>
      </c>
      <c r="E14" s="14">
        <f>E13+E9+E5</f>
        <v>0</v>
      </c>
      <c r="F14" s="93">
        <f aca="true" t="shared" si="0" ref="F14:K14">F3+F7+F11</f>
        <v>80000</v>
      </c>
      <c r="G14" s="91">
        <f t="shared" si="0"/>
        <v>205000</v>
      </c>
      <c r="H14" s="94">
        <f t="shared" si="0"/>
        <v>57000</v>
      </c>
      <c r="I14" s="91">
        <f t="shared" si="0"/>
        <v>88000</v>
      </c>
      <c r="J14" s="94">
        <f t="shared" si="0"/>
        <v>38000</v>
      </c>
      <c r="K14" s="92">
        <f t="shared" si="0"/>
        <v>57000</v>
      </c>
    </row>
    <row r="15" ht="15.75" thickTop="1"/>
    <row r="16" spans="2:4" ht="15">
      <c r="B16" s="1"/>
      <c r="C16" s="1"/>
      <c r="D16" s="1"/>
    </row>
  </sheetData>
  <sheetProtection/>
  <mergeCells count="6">
    <mergeCell ref="E2:E3"/>
    <mergeCell ref="A2:A5"/>
    <mergeCell ref="A6:A9"/>
    <mergeCell ref="E6:E7"/>
    <mergeCell ref="A10:A13"/>
    <mergeCell ref="E10:E1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Q57"/>
  <sheetViews>
    <sheetView zoomScale="70" zoomScaleNormal="70" zoomScalePageLayoutView="0" workbookViewId="0" topLeftCell="A18">
      <selection activeCell="B10" sqref="B10:B42"/>
    </sheetView>
  </sheetViews>
  <sheetFormatPr defaultColWidth="9.140625" defaultRowHeight="15"/>
  <cols>
    <col min="1" max="1" width="8.140625" style="45" customWidth="1"/>
    <col min="2" max="2" width="27.57421875" style="45" customWidth="1"/>
    <col min="3" max="6" width="11.28125" style="45" customWidth="1"/>
    <col min="7" max="7" width="12.28125" style="45" customWidth="1"/>
    <col min="8" max="8" width="13.421875" style="45" customWidth="1"/>
    <col min="9" max="9" width="13.00390625" style="45" customWidth="1"/>
    <col min="10" max="10" width="12.140625" style="45" customWidth="1"/>
    <col min="11" max="12" width="10.7109375" style="45" customWidth="1"/>
    <col min="13" max="13" width="12.421875" style="45" customWidth="1"/>
    <col min="14" max="14" width="15.140625" style="45" customWidth="1"/>
    <col min="15" max="15" width="15.8515625" style="45" customWidth="1"/>
  </cols>
  <sheetData>
    <row r="1" spans="1:8" ht="18.75">
      <c r="A1" s="208" t="s">
        <v>47</v>
      </c>
      <c r="B1" s="208"/>
      <c r="C1" s="208"/>
      <c r="D1" s="208"/>
      <c r="E1" s="208"/>
      <c r="F1" s="208"/>
      <c r="G1" s="208"/>
      <c r="H1" s="208"/>
    </row>
    <row r="2" spans="1:8" ht="18.75">
      <c r="A2" s="208" t="s">
        <v>107</v>
      </c>
      <c r="B2" s="208"/>
      <c r="C2" s="208"/>
      <c r="D2" s="208"/>
      <c r="E2" s="208"/>
      <c r="F2" s="208"/>
      <c r="G2" s="208"/>
      <c r="H2" s="208"/>
    </row>
    <row r="3" spans="1:15" ht="20.25">
      <c r="A3" s="121"/>
      <c r="B3" s="121"/>
      <c r="C3" s="121"/>
      <c r="D3" s="121"/>
      <c r="E3" s="121"/>
      <c r="F3" s="121"/>
      <c r="G3" s="121"/>
      <c r="H3" s="122"/>
      <c r="I3" s="122"/>
      <c r="J3" s="122"/>
      <c r="K3" s="122"/>
      <c r="L3" s="122"/>
      <c r="M3" s="122"/>
      <c r="N3" s="122"/>
      <c r="O3" s="122"/>
    </row>
    <row r="4" spans="1:15" ht="42.75" customHeight="1">
      <c r="A4" s="211" t="s">
        <v>75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1:15" ht="20.25">
      <c r="A5" s="211" t="s">
        <v>99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</row>
    <row r="6" spans="1:6" ht="18.75">
      <c r="A6" s="199" t="s">
        <v>70</v>
      </c>
      <c r="B6" s="199"/>
      <c r="C6" s="65"/>
      <c r="D6" s="65"/>
      <c r="E6" s="65"/>
      <c r="F6" s="65"/>
    </row>
    <row r="7" spans="1:6" ht="19.5" thickBot="1">
      <c r="A7" s="60"/>
      <c r="B7" s="60"/>
      <c r="C7" s="65"/>
      <c r="D7" s="65"/>
      <c r="E7" s="65"/>
      <c r="F7" s="65"/>
    </row>
    <row r="8" spans="1:15" ht="19.5" thickTop="1">
      <c r="A8" s="200" t="s">
        <v>0</v>
      </c>
      <c r="B8" s="202" t="s">
        <v>32</v>
      </c>
      <c r="C8" s="216" t="s">
        <v>127</v>
      </c>
      <c r="D8" s="217"/>
      <c r="E8" s="217"/>
      <c r="F8" s="218"/>
      <c r="G8" s="216" t="s">
        <v>134</v>
      </c>
      <c r="H8" s="217"/>
      <c r="I8" s="217"/>
      <c r="J8" s="217"/>
      <c r="K8" s="217"/>
      <c r="L8" s="218"/>
      <c r="M8" s="204" t="s">
        <v>105</v>
      </c>
      <c r="N8" s="202" t="s">
        <v>1</v>
      </c>
      <c r="O8" s="195" t="s">
        <v>34</v>
      </c>
    </row>
    <row r="9" spans="1:15" ht="18.75">
      <c r="A9" s="201"/>
      <c r="B9" s="203"/>
      <c r="C9" s="120" t="s">
        <v>90</v>
      </c>
      <c r="D9" s="120" t="s">
        <v>91</v>
      </c>
      <c r="E9" s="120" t="s">
        <v>92</v>
      </c>
      <c r="F9" s="120" t="s">
        <v>95</v>
      </c>
      <c r="G9" s="112" t="s">
        <v>90</v>
      </c>
      <c r="H9" s="112" t="s">
        <v>91</v>
      </c>
      <c r="I9" s="112" t="s">
        <v>92</v>
      </c>
      <c r="J9" s="112" t="s">
        <v>93</v>
      </c>
      <c r="K9" s="112" t="s">
        <v>94</v>
      </c>
      <c r="L9" s="120" t="s">
        <v>95</v>
      </c>
      <c r="M9" s="203"/>
      <c r="N9" s="203"/>
      <c r="O9" s="196"/>
    </row>
    <row r="10" spans="1:15" ht="18.75">
      <c r="A10" s="52">
        <v>1</v>
      </c>
      <c r="B10" s="49" t="s">
        <v>54</v>
      </c>
      <c r="C10" s="53"/>
      <c r="D10" s="53"/>
      <c r="E10" s="53"/>
      <c r="F10" s="53"/>
      <c r="G10" s="53">
        <f>2+5</f>
        <v>7</v>
      </c>
      <c r="H10" s="53">
        <v>5</v>
      </c>
      <c r="I10" s="53">
        <f>4+2</f>
        <v>6</v>
      </c>
      <c r="J10" s="53">
        <v>2</v>
      </c>
      <c r="K10" s="53">
        <f>2+1</f>
        <v>3</v>
      </c>
      <c r="L10" s="53"/>
      <c r="M10" s="53">
        <f aca="true" t="shared" si="0" ref="M10:M42">SUM(G10:L10)</f>
        <v>23</v>
      </c>
      <c r="N10" s="53">
        <f>(G10+H10+I10+J10+K10+L10)*30000</f>
        <v>690000</v>
      </c>
      <c r="O10" s="50"/>
    </row>
    <row r="11" spans="1:15" ht="18.75">
      <c r="A11" s="52">
        <v>2</v>
      </c>
      <c r="B11" s="49" t="s">
        <v>56</v>
      </c>
      <c r="C11" s="53"/>
      <c r="D11" s="53"/>
      <c r="E11" s="53"/>
      <c r="F11" s="53"/>
      <c r="G11" s="53">
        <v>3</v>
      </c>
      <c r="H11" s="53">
        <f>1+1</f>
        <v>2</v>
      </c>
      <c r="I11" s="53">
        <v>1</v>
      </c>
      <c r="J11" s="53"/>
      <c r="K11" s="53"/>
      <c r="L11" s="53">
        <f>2+3</f>
        <v>5</v>
      </c>
      <c r="M11" s="53">
        <f t="shared" si="0"/>
        <v>11</v>
      </c>
      <c r="N11" s="53">
        <f>(G11+H11+I11+J11+K11+L11)*30000</f>
        <v>330000</v>
      </c>
      <c r="O11" s="50"/>
    </row>
    <row r="12" spans="1:15" ht="18.75">
      <c r="A12" s="52">
        <v>3</v>
      </c>
      <c r="B12" s="49" t="s">
        <v>58</v>
      </c>
      <c r="C12" s="53"/>
      <c r="D12" s="53"/>
      <c r="E12" s="53"/>
      <c r="F12" s="53"/>
      <c r="G12" s="53">
        <v>1</v>
      </c>
      <c r="H12" s="53">
        <v>2</v>
      </c>
      <c r="I12" s="53">
        <v>1</v>
      </c>
      <c r="J12" s="53"/>
      <c r="K12" s="53"/>
      <c r="L12" s="53">
        <f>1+1</f>
        <v>2</v>
      </c>
      <c r="M12" s="53">
        <f t="shared" si="0"/>
        <v>6</v>
      </c>
      <c r="N12" s="53">
        <f>(G12+H12+I12+J12+K12+L12)*30000</f>
        <v>180000</v>
      </c>
      <c r="O12" s="50"/>
    </row>
    <row r="13" spans="1:15" ht="18.75">
      <c r="A13" s="52">
        <v>4</v>
      </c>
      <c r="B13" s="49" t="s">
        <v>50</v>
      </c>
      <c r="C13" s="53"/>
      <c r="D13" s="53"/>
      <c r="E13" s="53"/>
      <c r="F13" s="53"/>
      <c r="G13" s="53">
        <v>5</v>
      </c>
      <c r="H13" s="53">
        <v>4</v>
      </c>
      <c r="I13" s="53">
        <v>3</v>
      </c>
      <c r="J13" s="53">
        <v>5</v>
      </c>
      <c r="K13" s="53">
        <v>2</v>
      </c>
      <c r="L13" s="53">
        <v>7</v>
      </c>
      <c r="M13" s="53">
        <f t="shared" si="0"/>
        <v>26</v>
      </c>
      <c r="N13" s="53">
        <f>(G13+H13+I13+J13+K13+L13)*30000</f>
        <v>780000</v>
      </c>
      <c r="O13" s="50"/>
    </row>
    <row r="14" spans="1:15" ht="18.75">
      <c r="A14" s="52">
        <v>5</v>
      </c>
      <c r="B14" s="49" t="s">
        <v>37</v>
      </c>
      <c r="C14" s="53"/>
      <c r="D14" s="53"/>
      <c r="E14" s="53"/>
      <c r="F14" s="53">
        <v>1</v>
      </c>
      <c r="G14" s="53"/>
      <c r="H14" s="53"/>
      <c r="I14" s="53"/>
      <c r="J14" s="53"/>
      <c r="K14" s="53"/>
      <c r="L14" s="53"/>
      <c r="M14" s="53">
        <f t="shared" si="0"/>
        <v>0</v>
      </c>
      <c r="N14" s="53">
        <f>(G14+H14+I14+J14+K14+L14)*30000+F14*40000</f>
        <v>40000</v>
      </c>
      <c r="O14" s="50"/>
    </row>
    <row r="15" spans="1:15" ht="18.75">
      <c r="A15" s="52">
        <v>6</v>
      </c>
      <c r="B15" s="49" t="s">
        <v>114</v>
      </c>
      <c r="C15" s="53">
        <v>1</v>
      </c>
      <c r="D15" s="53">
        <v>1</v>
      </c>
      <c r="E15" s="53"/>
      <c r="F15" s="53"/>
      <c r="G15" s="53">
        <v>4</v>
      </c>
      <c r="H15" s="53">
        <v>2</v>
      </c>
      <c r="I15" s="53">
        <v>1</v>
      </c>
      <c r="J15" s="53">
        <v>2</v>
      </c>
      <c r="K15" s="53">
        <v>2</v>
      </c>
      <c r="L15" s="53"/>
      <c r="M15" s="53">
        <f t="shared" si="0"/>
        <v>11</v>
      </c>
      <c r="N15" s="53">
        <f>(G15+H15+I15+J15+K15+L15)*30000+(C15+D15+E15)*40000</f>
        <v>410000</v>
      </c>
      <c r="O15" s="50"/>
    </row>
    <row r="16" spans="1:15" ht="18.75">
      <c r="A16" s="52">
        <v>7</v>
      </c>
      <c r="B16" s="49" t="s">
        <v>55</v>
      </c>
      <c r="C16" s="53"/>
      <c r="D16" s="53"/>
      <c r="E16" s="53"/>
      <c r="F16" s="53"/>
      <c r="G16" s="53">
        <v>2</v>
      </c>
      <c r="H16" s="53">
        <v>5</v>
      </c>
      <c r="I16" s="53"/>
      <c r="J16" s="53">
        <v>2</v>
      </c>
      <c r="K16" s="53">
        <v>6</v>
      </c>
      <c r="L16" s="53">
        <f>2+1</f>
        <v>3</v>
      </c>
      <c r="M16" s="53">
        <f t="shared" si="0"/>
        <v>18</v>
      </c>
      <c r="N16" s="53">
        <f>(G16+H16+I16+J16+K16+L16)*30000</f>
        <v>540000</v>
      </c>
      <c r="O16" s="50"/>
    </row>
    <row r="17" spans="1:15" ht="18.75">
      <c r="A17" s="52">
        <v>8</v>
      </c>
      <c r="B17" s="49" t="s">
        <v>49</v>
      </c>
      <c r="C17" s="53"/>
      <c r="D17" s="53"/>
      <c r="E17" s="53"/>
      <c r="F17" s="53"/>
      <c r="G17" s="53">
        <v>1</v>
      </c>
      <c r="H17" s="53">
        <v>2</v>
      </c>
      <c r="I17" s="53">
        <v>3</v>
      </c>
      <c r="J17" s="53"/>
      <c r="K17" s="53">
        <v>4</v>
      </c>
      <c r="L17" s="53">
        <v>4</v>
      </c>
      <c r="M17" s="53">
        <f t="shared" si="0"/>
        <v>14</v>
      </c>
      <c r="N17" s="53">
        <f>(G17+H17+I17+J17+K17+L17)*30000</f>
        <v>420000</v>
      </c>
      <c r="O17" s="50"/>
    </row>
    <row r="18" spans="1:15" ht="18.75">
      <c r="A18" s="52">
        <v>9</v>
      </c>
      <c r="B18" s="49" t="s">
        <v>140</v>
      </c>
      <c r="C18" s="53"/>
      <c r="D18" s="53"/>
      <c r="E18" s="53"/>
      <c r="F18" s="53"/>
      <c r="G18" s="53"/>
      <c r="H18" s="53"/>
      <c r="I18" s="53"/>
      <c r="J18" s="53"/>
      <c r="K18" s="53"/>
      <c r="L18" s="53">
        <v>1</v>
      </c>
      <c r="M18" s="53">
        <f t="shared" si="0"/>
        <v>1</v>
      </c>
      <c r="N18" s="53">
        <f>(G18+H18+I18+J18+K18+L18)*30000</f>
        <v>30000</v>
      </c>
      <c r="O18" s="50"/>
    </row>
    <row r="19" spans="1:15" ht="18.75">
      <c r="A19" s="52">
        <v>10</v>
      </c>
      <c r="B19" s="49" t="s">
        <v>57</v>
      </c>
      <c r="C19" s="53"/>
      <c r="D19" s="53"/>
      <c r="E19" s="53"/>
      <c r="F19" s="53"/>
      <c r="G19" s="53">
        <v>6</v>
      </c>
      <c r="H19" s="53"/>
      <c r="I19" s="53"/>
      <c r="J19" s="53">
        <v>1</v>
      </c>
      <c r="K19" s="53">
        <v>2</v>
      </c>
      <c r="L19" s="53">
        <v>3</v>
      </c>
      <c r="M19" s="53">
        <f t="shared" si="0"/>
        <v>12</v>
      </c>
      <c r="N19" s="53">
        <f>(G19+H19+I19+J19+K19+L19)*30000</f>
        <v>360000</v>
      </c>
      <c r="O19" s="50"/>
    </row>
    <row r="20" spans="1:15" ht="18.75">
      <c r="A20" s="52">
        <v>11</v>
      </c>
      <c r="B20" s="49" t="s">
        <v>51</v>
      </c>
      <c r="C20" s="53"/>
      <c r="D20" s="53"/>
      <c r="E20" s="53"/>
      <c r="F20" s="53"/>
      <c r="G20" s="53">
        <v>5</v>
      </c>
      <c r="H20" s="53">
        <v>1</v>
      </c>
      <c r="I20" s="53">
        <v>1</v>
      </c>
      <c r="J20" s="53">
        <v>1</v>
      </c>
      <c r="K20" s="53">
        <v>2</v>
      </c>
      <c r="L20" s="53">
        <v>1</v>
      </c>
      <c r="M20" s="53">
        <f t="shared" si="0"/>
        <v>11</v>
      </c>
      <c r="N20" s="53">
        <f>(G20+H20+I20+J20+K20+L20)*30000</f>
        <v>330000</v>
      </c>
      <c r="O20" s="50"/>
    </row>
    <row r="21" spans="1:15" ht="18.75">
      <c r="A21" s="52">
        <v>12</v>
      </c>
      <c r="B21" s="49" t="s">
        <v>53</v>
      </c>
      <c r="C21" s="53"/>
      <c r="D21" s="53"/>
      <c r="E21" s="53">
        <v>1</v>
      </c>
      <c r="F21" s="53">
        <v>3</v>
      </c>
      <c r="G21" s="53">
        <v>1</v>
      </c>
      <c r="H21" s="53"/>
      <c r="I21" s="53">
        <v>2</v>
      </c>
      <c r="J21" s="53"/>
      <c r="K21" s="53">
        <v>1</v>
      </c>
      <c r="L21" s="53"/>
      <c r="M21" s="53">
        <f t="shared" si="0"/>
        <v>4</v>
      </c>
      <c r="N21" s="53">
        <f>(G21+H21+I21+J21+K21+L21)*30000+(C21+D21+E21+F21)*40000</f>
        <v>280000</v>
      </c>
      <c r="O21" s="50"/>
    </row>
    <row r="22" spans="1:15" ht="18.75">
      <c r="A22" s="52">
        <v>13</v>
      </c>
      <c r="B22" s="49" t="s">
        <v>52</v>
      </c>
      <c r="C22" s="53"/>
      <c r="D22" s="53"/>
      <c r="E22" s="53"/>
      <c r="F22" s="53"/>
      <c r="G22" s="53"/>
      <c r="H22" s="53"/>
      <c r="I22" s="53">
        <v>1</v>
      </c>
      <c r="J22" s="53">
        <v>1</v>
      </c>
      <c r="K22" s="53">
        <v>1</v>
      </c>
      <c r="L22" s="53"/>
      <c r="M22" s="53">
        <f t="shared" si="0"/>
        <v>3</v>
      </c>
      <c r="N22" s="53">
        <f>(G22+H22+I22+J22+K22+L22)*30000</f>
        <v>90000</v>
      </c>
      <c r="O22" s="50"/>
    </row>
    <row r="23" spans="1:15" ht="18.75">
      <c r="A23" s="52">
        <v>14</v>
      </c>
      <c r="B23" s="49" t="s">
        <v>64</v>
      </c>
      <c r="C23" s="53">
        <v>1</v>
      </c>
      <c r="D23" s="53"/>
      <c r="E23" s="53"/>
      <c r="F23" s="53"/>
      <c r="G23" s="53">
        <v>11</v>
      </c>
      <c r="H23" s="53"/>
      <c r="I23" s="53"/>
      <c r="J23" s="53">
        <v>6</v>
      </c>
      <c r="K23" s="53">
        <v>10</v>
      </c>
      <c r="L23" s="53"/>
      <c r="M23" s="53">
        <f t="shared" si="0"/>
        <v>27</v>
      </c>
      <c r="N23" s="53">
        <f>(G23+H23+I23+J23+K23+L23)*18000+C23*30000</f>
        <v>516000</v>
      </c>
      <c r="O23" s="50"/>
    </row>
    <row r="24" spans="1:15" ht="18.75">
      <c r="A24" s="52">
        <v>15</v>
      </c>
      <c r="B24" s="49" t="s">
        <v>74</v>
      </c>
      <c r="C24" s="53"/>
      <c r="D24" s="53"/>
      <c r="E24" s="53"/>
      <c r="F24" s="53"/>
      <c r="G24" s="53">
        <v>10</v>
      </c>
      <c r="H24" s="53">
        <v>6</v>
      </c>
      <c r="I24" s="53"/>
      <c r="J24" s="53"/>
      <c r="K24" s="53">
        <v>11</v>
      </c>
      <c r="L24" s="53">
        <v>11</v>
      </c>
      <c r="M24" s="53">
        <f t="shared" si="0"/>
        <v>38</v>
      </c>
      <c r="N24" s="53">
        <f>(G24+H24+I24+J24+K24+L24)*18000</f>
        <v>684000</v>
      </c>
      <c r="O24" s="50"/>
    </row>
    <row r="25" spans="1:15" ht="18.75">
      <c r="A25" s="52">
        <v>16</v>
      </c>
      <c r="B25" s="49" t="s">
        <v>61</v>
      </c>
      <c r="C25" s="53"/>
      <c r="D25" s="53"/>
      <c r="E25" s="53"/>
      <c r="F25" s="53"/>
      <c r="G25" s="53"/>
      <c r="H25" s="53"/>
      <c r="I25" s="53"/>
      <c r="J25" s="53"/>
      <c r="K25" s="53"/>
      <c r="L25" s="53">
        <v>1</v>
      </c>
      <c r="M25" s="53">
        <f t="shared" si="0"/>
        <v>1</v>
      </c>
      <c r="N25" s="53">
        <f>(G25+H25+I25+J25+K25+L25)*18000</f>
        <v>18000</v>
      </c>
      <c r="O25" s="50"/>
    </row>
    <row r="26" spans="1:15" ht="18.75">
      <c r="A26" s="52">
        <v>17</v>
      </c>
      <c r="B26" s="49" t="s">
        <v>67</v>
      </c>
      <c r="C26" s="53"/>
      <c r="D26" s="53">
        <v>1</v>
      </c>
      <c r="E26" s="53">
        <v>1</v>
      </c>
      <c r="F26" s="53"/>
      <c r="G26" s="53">
        <v>8</v>
      </c>
      <c r="H26" s="53">
        <v>9</v>
      </c>
      <c r="I26" s="53">
        <v>7</v>
      </c>
      <c r="J26" s="53"/>
      <c r="K26" s="53">
        <v>21</v>
      </c>
      <c r="L26" s="53">
        <f>10+1</f>
        <v>11</v>
      </c>
      <c r="M26" s="53">
        <f t="shared" si="0"/>
        <v>56</v>
      </c>
      <c r="N26" s="53">
        <f>(G26+H26+I26+J26+L26)*18000+(D26+E26)*30000+(K26*9000)</f>
        <v>879000</v>
      </c>
      <c r="O26" s="50"/>
    </row>
    <row r="27" spans="1:15" ht="18.75">
      <c r="A27" s="52">
        <v>18</v>
      </c>
      <c r="B27" s="49" t="s">
        <v>112</v>
      </c>
      <c r="C27" s="53"/>
      <c r="D27" s="53"/>
      <c r="E27" s="53"/>
      <c r="F27" s="53"/>
      <c r="G27" s="53"/>
      <c r="H27" s="53"/>
      <c r="I27" s="53"/>
      <c r="J27" s="53">
        <v>6</v>
      </c>
      <c r="K27" s="53"/>
      <c r="L27" s="53">
        <v>9</v>
      </c>
      <c r="M27" s="53">
        <f t="shared" si="0"/>
        <v>15</v>
      </c>
      <c r="N27" s="53">
        <f>(G27+H27+I27+J27+K27)*18000+L27*9000</f>
        <v>189000</v>
      </c>
      <c r="O27" s="50"/>
    </row>
    <row r="28" spans="1:15" ht="18.75">
      <c r="A28" s="52">
        <v>19</v>
      </c>
      <c r="B28" s="49" t="s">
        <v>113</v>
      </c>
      <c r="C28" s="53"/>
      <c r="D28" s="53"/>
      <c r="E28" s="53"/>
      <c r="F28" s="53"/>
      <c r="G28" s="53"/>
      <c r="H28" s="53">
        <v>1</v>
      </c>
      <c r="I28" s="53"/>
      <c r="J28" s="53"/>
      <c r="K28" s="53"/>
      <c r="L28" s="53"/>
      <c r="M28" s="53">
        <f t="shared" si="0"/>
        <v>1</v>
      </c>
      <c r="N28" s="53">
        <f>(G28+H28+I28+J28+K28+L28)*18000</f>
        <v>18000</v>
      </c>
      <c r="O28" s="50"/>
    </row>
    <row r="29" spans="1:15" ht="18.75">
      <c r="A29" s="52">
        <v>20</v>
      </c>
      <c r="B29" s="49" t="s">
        <v>137</v>
      </c>
      <c r="C29" s="53"/>
      <c r="D29" s="53"/>
      <c r="E29" s="53"/>
      <c r="F29" s="53"/>
      <c r="G29" s="53"/>
      <c r="H29" s="53"/>
      <c r="I29" s="53">
        <v>5</v>
      </c>
      <c r="J29" s="53"/>
      <c r="K29" s="53"/>
      <c r="L29" s="53">
        <f>13+1</f>
        <v>14</v>
      </c>
      <c r="M29" s="53">
        <f t="shared" si="0"/>
        <v>19</v>
      </c>
      <c r="N29" s="53">
        <f>(G29+H29+I29+J29+K29)*18000+L29*9000</f>
        <v>216000</v>
      </c>
      <c r="O29" s="50"/>
    </row>
    <row r="30" spans="1:15" ht="18.75">
      <c r="A30" s="52">
        <v>21</v>
      </c>
      <c r="B30" s="49" t="s">
        <v>69</v>
      </c>
      <c r="C30" s="53"/>
      <c r="D30" s="53"/>
      <c r="E30" s="53"/>
      <c r="F30" s="53"/>
      <c r="G30" s="53">
        <v>1</v>
      </c>
      <c r="H30" s="53">
        <v>5</v>
      </c>
      <c r="I30" s="53"/>
      <c r="J30" s="53">
        <v>2</v>
      </c>
      <c r="K30" s="53">
        <v>2</v>
      </c>
      <c r="L30" s="53">
        <v>3</v>
      </c>
      <c r="M30" s="53">
        <f t="shared" si="0"/>
        <v>13</v>
      </c>
      <c r="N30" s="53">
        <f>(G30+H30+I30+J30+K30)*18000+L30*9000</f>
        <v>207000</v>
      </c>
      <c r="O30" s="50"/>
    </row>
    <row r="31" spans="1:15" ht="18.75">
      <c r="A31" s="52">
        <v>22</v>
      </c>
      <c r="B31" s="49" t="s">
        <v>62</v>
      </c>
      <c r="C31" s="53"/>
      <c r="D31" s="53"/>
      <c r="E31" s="53"/>
      <c r="F31" s="53"/>
      <c r="G31" s="53">
        <v>4</v>
      </c>
      <c r="H31" s="53">
        <v>1</v>
      </c>
      <c r="I31" s="53">
        <v>4</v>
      </c>
      <c r="J31" s="53"/>
      <c r="K31" s="53"/>
      <c r="L31" s="53">
        <v>3</v>
      </c>
      <c r="M31" s="53">
        <f t="shared" si="0"/>
        <v>12</v>
      </c>
      <c r="N31" s="53">
        <f>(G31+H31+I31+J31+K31+L31)*18000</f>
        <v>216000</v>
      </c>
      <c r="O31" s="50"/>
    </row>
    <row r="32" spans="1:15" ht="18.75">
      <c r="A32" s="52">
        <v>23</v>
      </c>
      <c r="B32" s="49" t="s">
        <v>63</v>
      </c>
      <c r="C32" s="53"/>
      <c r="D32" s="53"/>
      <c r="E32" s="53"/>
      <c r="F32" s="53"/>
      <c r="G32" s="53">
        <v>1</v>
      </c>
      <c r="H32" s="53"/>
      <c r="I32" s="53"/>
      <c r="J32" s="53"/>
      <c r="K32" s="53"/>
      <c r="L32" s="53"/>
      <c r="M32" s="53">
        <f t="shared" si="0"/>
        <v>1</v>
      </c>
      <c r="N32" s="53">
        <f>(G32+H32+I32+J32+K32+L32)*18000</f>
        <v>18000</v>
      </c>
      <c r="O32" s="50"/>
    </row>
    <row r="33" spans="1:15" ht="18.75">
      <c r="A33" s="52">
        <v>24</v>
      </c>
      <c r="B33" s="49" t="s">
        <v>73</v>
      </c>
      <c r="C33" s="53"/>
      <c r="D33" s="53"/>
      <c r="E33" s="53"/>
      <c r="F33" s="53">
        <v>4</v>
      </c>
      <c r="G33" s="53"/>
      <c r="H33" s="53">
        <v>1</v>
      </c>
      <c r="I33" s="53">
        <v>1</v>
      </c>
      <c r="J33" s="53"/>
      <c r="K33" s="53"/>
      <c r="L33" s="53"/>
      <c r="M33" s="53">
        <f t="shared" si="0"/>
        <v>2</v>
      </c>
      <c r="N33" s="53">
        <f>(G33+H33+I33+J33+K33+L33)*18000+F33*30000</f>
        <v>156000</v>
      </c>
      <c r="O33" s="50"/>
    </row>
    <row r="34" spans="1:15" ht="18.75">
      <c r="A34" s="52">
        <v>25</v>
      </c>
      <c r="B34" s="49" t="s">
        <v>138</v>
      </c>
      <c r="C34" s="53"/>
      <c r="D34" s="53"/>
      <c r="E34" s="53"/>
      <c r="F34" s="53"/>
      <c r="G34" s="53"/>
      <c r="H34" s="53"/>
      <c r="I34" s="53">
        <v>1</v>
      </c>
      <c r="J34" s="53"/>
      <c r="K34" s="53"/>
      <c r="L34" s="53"/>
      <c r="M34" s="53">
        <f t="shared" si="0"/>
        <v>1</v>
      </c>
      <c r="N34" s="53">
        <f>(G34+H34+I34+J34+K34+L34)*18000</f>
        <v>18000</v>
      </c>
      <c r="O34" s="50"/>
    </row>
    <row r="35" spans="1:15" ht="18.75">
      <c r="A35" s="52">
        <v>26</v>
      </c>
      <c r="B35" s="49" t="s">
        <v>136</v>
      </c>
      <c r="C35" s="53"/>
      <c r="D35" s="53"/>
      <c r="E35" s="53"/>
      <c r="F35" s="53"/>
      <c r="G35" s="53"/>
      <c r="H35" s="53"/>
      <c r="I35" s="53">
        <v>1</v>
      </c>
      <c r="J35" s="53"/>
      <c r="K35" s="53"/>
      <c r="L35" s="53"/>
      <c r="M35" s="53">
        <f t="shared" si="0"/>
        <v>1</v>
      </c>
      <c r="N35" s="53">
        <f>(G35+H35+I35+J35+K35+L35)*18000</f>
        <v>18000</v>
      </c>
      <c r="O35" s="50"/>
    </row>
    <row r="36" spans="1:15" ht="18.75">
      <c r="A36" s="52">
        <v>27</v>
      </c>
      <c r="B36" s="46" t="s">
        <v>66</v>
      </c>
      <c r="C36" s="48">
        <v>1</v>
      </c>
      <c r="D36" s="48">
        <v>1</v>
      </c>
      <c r="E36" s="48">
        <v>1</v>
      </c>
      <c r="F36" s="48"/>
      <c r="G36" s="48">
        <f>25+5</f>
        <v>30</v>
      </c>
      <c r="H36" s="48">
        <f>6+15</f>
        <v>21</v>
      </c>
      <c r="I36" s="48">
        <f>14+4</f>
        <v>18</v>
      </c>
      <c r="J36" s="48">
        <f>2+7</f>
        <v>9</v>
      </c>
      <c r="K36" s="48"/>
      <c r="L36" s="48"/>
      <c r="M36" s="53">
        <f t="shared" si="0"/>
        <v>78</v>
      </c>
      <c r="N36" s="53">
        <f>(G36+H36+I36+J36+K36+L36)*9000+(C36+D36+E36)*18000</f>
        <v>756000</v>
      </c>
      <c r="O36" s="47"/>
    </row>
    <row r="37" spans="1:15" ht="18.75">
      <c r="A37" s="52">
        <v>28</v>
      </c>
      <c r="B37" s="49" t="s">
        <v>71</v>
      </c>
      <c r="C37" s="53"/>
      <c r="D37" s="53"/>
      <c r="E37" s="53"/>
      <c r="F37" s="53"/>
      <c r="G37" s="53">
        <v>1</v>
      </c>
      <c r="H37" s="53"/>
      <c r="I37" s="53"/>
      <c r="J37" s="53"/>
      <c r="K37" s="53"/>
      <c r="L37" s="53"/>
      <c r="M37" s="53">
        <f t="shared" si="0"/>
        <v>1</v>
      </c>
      <c r="N37" s="53">
        <f>(G37+H37+I37+J37+K37+L37)*9000</f>
        <v>9000</v>
      </c>
      <c r="O37" s="50"/>
    </row>
    <row r="38" spans="1:15" ht="18.75">
      <c r="A38" s="54">
        <v>29</v>
      </c>
      <c r="B38" s="46" t="s">
        <v>68</v>
      </c>
      <c r="C38" s="48"/>
      <c r="D38" s="48"/>
      <c r="E38" s="48"/>
      <c r="F38" s="48"/>
      <c r="G38" s="48"/>
      <c r="H38" s="48">
        <v>1</v>
      </c>
      <c r="I38" s="48"/>
      <c r="J38" s="48">
        <v>4</v>
      </c>
      <c r="K38" s="48"/>
      <c r="L38" s="48"/>
      <c r="M38" s="48">
        <f t="shared" si="0"/>
        <v>5</v>
      </c>
      <c r="N38" s="48">
        <f>(G38+H38+I38+J38+K38+L38)*9000</f>
        <v>45000</v>
      </c>
      <c r="O38" s="47"/>
    </row>
    <row r="39" spans="1:15" ht="18.75">
      <c r="A39" s="54">
        <v>30</v>
      </c>
      <c r="B39" s="46" t="s">
        <v>135</v>
      </c>
      <c r="C39" s="48"/>
      <c r="D39" s="48"/>
      <c r="E39" s="48"/>
      <c r="F39" s="48"/>
      <c r="G39" s="48">
        <v>2</v>
      </c>
      <c r="H39" s="48"/>
      <c r="I39" s="48">
        <v>1</v>
      </c>
      <c r="J39" s="48"/>
      <c r="K39" s="48"/>
      <c r="L39" s="48"/>
      <c r="M39" s="48">
        <f t="shared" si="0"/>
        <v>3</v>
      </c>
      <c r="N39" s="48">
        <f>(G39+H39+I39+J39+K39+L39)*9000</f>
        <v>27000</v>
      </c>
      <c r="O39" s="47"/>
    </row>
    <row r="40" spans="1:15" ht="18.75">
      <c r="A40" s="52">
        <v>31</v>
      </c>
      <c r="B40" s="49" t="s">
        <v>139</v>
      </c>
      <c r="C40" s="53"/>
      <c r="D40" s="53"/>
      <c r="E40" s="53"/>
      <c r="F40" s="53">
        <v>4</v>
      </c>
      <c r="G40" s="53"/>
      <c r="H40" s="53"/>
      <c r="I40" s="53"/>
      <c r="J40" s="53"/>
      <c r="K40" s="53"/>
      <c r="L40" s="53"/>
      <c r="M40" s="53">
        <f t="shared" si="0"/>
        <v>0</v>
      </c>
      <c r="N40" s="53">
        <f>(G40+H40+I40+J40+K40+L40)*18000+F40*18000</f>
        <v>72000</v>
      </c>
      <c r="O40" s="50"/>
    </row>
    <row r="41" spans="1:17" ht="18.75">
      <c r="A41" s="52">
        <v>32</v>
      </c>
      <c r="B41" s="49" t="s">
        <v>72</v>
      </c>
      <c r="C41" s="53"/>
      <c r="D41" s="53"/>
      <c r="E41" s="53"/>
      <c r="F41" s="53"/>
      <c r="G41" s="53">
        <v>2</v>
      </c>
      <c r="H41" s="53">
        <v>1</v>
      </c>
      <c r="I41" s="53"/>
      <c r="J41" s="53">
        <v>1</v>
      </c>
      <c r="K41" s="53"/>
      <c r="L41" s="53"/>
      <c r="M41" s="53">
        <f t="shared" si="0"/>
        <v>4</v>
      </c>
      <c r="N41" s="53">
        <f>(G41+H41+I41+J41+K41+L41)*9000</f>
        <v>36000</v>
      </c>
      <c r="O41" s="50"/>
      <c r="Q41" s="1"/>
    </row>
    <row r="42" spans="1:15" ht="19.5" thickBot="1">
      <c r="A42" s="52">
        <v>33</v>
      </c>
      <c r="B42" s="49" t="s">
        <v>65</v>
      </c>
      <c r="C42" s="53"/>
      <c r="D42" s="53"/>
      <c r="E42" s="53"/>
      <c r="F42" s="53"/>
      <c r="G42" s="53"/>
      <c r="H42" s="53"/>
      <c r="I42" s="53"/>
      <c r="J42" s="53"/>
      <c r="K42" s="53">
        <v>2</v>
      </c>
      <c r="L42" s="53"/>
      <c r="M42" s="53">
        <f t="shared" si="0"/>
        <v>2</v>
      </c>
      <c r="N42" s="53">
        <f>(G42+K42)*9000</f>
        <v>18000</v>
      </c>
      <c r="O42" s="50"/>
    </row>
    <row r="43" spans="1:15" ht="19.5" thickBot="1">
      <c r="A43" s="55">
        <f>A42</f>
        <v>33</v>
      </c>
      <c r="B43" s="56" t="s">
        <v>3</v>
      </c>
      <c r="C43" s="57">
        <f aca="true" t="shared" si="1" ref="C43:N43">SUM(C10:C42)</f>
        <v>3</v>
      </c>
      <c r="D43" s="57">
        <f t="shared" si="1"/>
        <v>3</v>
      </c>
      <c r="E43" s="57">
        <f t="shared" si="1"/>
        <v>3</v>
      </c>
      <c r="F43" s="57">
        <f t="shared" si="1"/>
        <v>12</v>
      </c>
      <c r="G43" s="57">
        <f t="shared" si="1"/>
        <v>105</v>
      </c>
      <c r="H43" s="57">
        <f t="shared" si="1"/>
        <v>69</v>
      </c>
      <c r="I43" s="57">
        <f t="shared" si="1"/>
        <v>57</v>
      </c>
      <c r="J43" s="57">
        <f t="shared" si="1"/>
        <v>42</v>
      </c>
      <c r="K43" s="57">
        <f t="shared" si="1"/>
        <v>69</v>
      </c>
      <c r="L43" s="57">
        <f t="shared" si="1"/>
        <v>78</v>
      </c>
      <c r="M43" s="57">
        <f t="shared" si="1"/>
        <v>420</v>
      </c>
      <c r="N43" s="57">
        <f t="shared" si="1"/>
        <v>8596000</v>
      </c>
      <c r="O43" s="58"/>
    </row>
    <row r="44" ht="19.5" thickTop="1"/>
    <row r="45" spans="1:15" ht="18.75">
      <c r="A45" s="199" t="s">
        <v>104</v>
      </c>
      <c r="B45" s="199"/>
      <c r="C45" s="65"/>
      <c r="D45" s="65"/>
      <c r="E45" s="65"/>
      <c r="F45" s="65"/>
      <c r="G45" s="63"/>
      <c r="H45" s="117"/>
      <c r="I45" s="117"/>
      <c r="J45" s="117"/>
      <c r="K45" s="117"/>
      <c r="L45" s="117"/>
      <c r="M45" s="117"/>
      <c r="N45" s="1"/>
      <c r="O45"/>
    </row>
    <row r="46" spans="1:15" ht="18.75">
      <c r="A46" s="51" t="s">
        <v>128</v>
      </c>
      <c r="C46" s="51" t="s">
        <v>127</v>
      </c>
      <c r="F46" s="51" t="s">
        <v>129</v>
      </c>
      <c r="N46"/>
      <c r="O46"/>
    </row>
    <row r="47" spans="1:15" ht="18.75">
      <c r="A47" s="45" t="s">
        <v>119</v>
      </c>
      <c r="C47" s="45" t="s">
        <v>122</v>
      </c>
      <c r="F47" s="45" t="s">
        <v>125</v>
      </c>
      <c r="N47"/>
      <c r="O47"/>
    </row>
    <row r="48" spans="1:15" ht="18.75">
      <c r="A48" s="45" t="s">
        <v>120</v>
      </c>
      <c r="C48" s="45" t="s">
        <v>123</v>
      </c>
      <c r="F48" s="45" t="s">
        <v>126</v>
      </c>
      <c r="N48"/>
      <c r="O48"/>
    </row>
    <row r="49" spans="1:15" ht="18.75">
      <c r="A49" s="45" t="s">
        <v>121</v>
      </c>
      <c r="C49" s="45" t="s">
        <v>124</v>
      </c>
      <c r="F49" s="45" t="s">
        <v>89</v>
      </c>
      <c r="N49"/>
      <c r="O49"/>
    </row>
    <row r="50" spans="12:15" ht="18.75">
      <c r="L50" s="197"/>
      <c r="M50" s="197"/>
      <c r="N50" s="197"/>
      <c r="O50" s="197"/>
    </row>
    <row r="51" spans="11:15" ht="18.75">
      <c r="K51" s="197" t="s">
        <v>87</v>
      </c>
      <c r="L51" s="197"/>
      <c r="M51" s="197"/>
      <c r="N51" s="197"/>
      <c r="O51" s="197"/>
    </row>
    <row r="52" spans="1:15" ht="18.75">
      <c r="A52" s="51"/>
      <c r="B52" s="51" t="s">
        <v>88</v>
      </c>
      <c r="C52" s="51"/>
      <c r="D52" s="51"/>
      <c r="E52" s="51"/>
      <c r="F52" s="51"/>
      <c r="G52" s="51"/>
      <c r="H52" s="51"/>
      <c r="I52" s="51"/>
      <c r="J52" s="51"/>
      <c r="K52" s="153" t="s">
        <v>48</v>
      </c>
      <c r="L52" s="153"/>
      <c r="M52" s="153"/>
      <c r="N52" s="153"/>
      <c r="O52" s="153"/>
    </row>
    <row r="57" ht="18.75">
      <c r="M57" s="113"/>
    </row>
  </sheetData>
  <sheetProtection/>
  <mergeCells count="16">
    <mergeCell ref="A1:H1"/>
    <mergeCell ref="A2:H2"/>
    <mergeCell ref="A4:O4"/>
    <mergeCell ref="A5:O5"/>
    <mergeCell ref="A6:B6"/>
    <mergeCell ref="A8:A9"/>
    <mergeCell ref="B8:B9"/>
    <mergeCell ref="M8:M9"/>
    <mergeCell ref="G8:L8"/>
    <mergeCell ref="N8:N9"/>
    <mergeCell ref="O8:O9"/>
    <mergeCell ref="A45:B45"/>
    <mergeCell ref="L50:O50"/>
    <mergeCell ref="K51:O51"/>
    <mergeCell ref="K52:O52"/>
    <mergeCell ref="C8:F8"/>
  </mergeCells>
  <printOptions/>
  <pageMargins left="0.56" right="0.25" top="0.75" bottom="0.75" header="0.3" footer="0.3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W35"/>
  <sheetViews>
    <sheetView tabSelected="1" zoomScale="70" zoomScaleNormal="70" zoomScalePageLayoutView="0" workbookViewId="0" topLeftCell="A1">
      <selection activeCell="J13" sqref="J13"/>
    </sheetView>
  </sheetViews>
  <sheetFormatPr defaultColWidth="9.140625" defaultRowHeight="15"/>
  <cols>
    <col min="1" max="1" width="9.57421875" style="45" customWidth="1"/>
    <col min="2" max="2" width="27.57421875" style="45" customWidth="1"/>
    <col min="3" max="20" width="7.140625" style="45" customWidth="1"/>
    <col min="21" max="21" width="7.7109375" style="45" customWidth="1"/>
    <col min="22" max="22" width="14.57421875" style="45" customWidth="1"/>
    <col min="23" max="23" width="10.8515625" style="45" customWidth="1"/>
  </cols>
  <sheetData>
    <row r="1" spans="1:16" ht="18.75">
      <c r="A1" s="208" t="s">
        <v>47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8.75">
      <c r="A2" s="208" t="s">
        <v>107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1:23" ht="2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2"/>
      <c r="Q3" s="122"/>
      <c r="R3" s="122"/>
      <c r="S3" s="122"/>
      <c r="T3" s="122"/>
      <c r="U3" s="122"/>
      <c r="V3" s="122"/>
      <c r="W3" s="122"/>
    </row>
    <row r="4" spans="1:23" ht="73.5" customHeight="1">
      <c r="A4" s="211" t="s">
        <v>75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</row>
    <row r="5" spans="1:23" ht="20.25">
      <c r="A5" s="211" t="s">
        <v>99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</row>
    <row r="6" spans="1:14" ht="18.75">
      <c r="A6" s="199" t="s">
        <v>28</v>
      </c>
      <c r="B6" s="19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ht="19.5" thickBot="1">
      <c r="A7" s="60"/>
      <c r="B7" s="60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23" ht="19.5" thickTop="1">
      <c r="A8" s="200" t="s">
        <v>0</v>
      </c>
      <c r="B8" s="202" t="s">
        <v>32</v>
      </c>
      <c r="C8" s="216" t="s">
        <v>149</v>
      </c>
      <c r="D8" s="217"/>
      <c r="E8" s="217"/>
      <c r="F8" s="217"/>
      <c r="G8" s="217"/>
      <c r="H8" s="218"/>
      <c r="I8" s="216" t="s">
        <v>148</v>
      </c>
      <c r="J8" s="217"/>
      <c r="K8" s="217"/>
      <c r="L8" s="217"/>
      <c r="M8" s="217"/>
      <c r="N8" s="218"/>
      <c r="O8" s="205" t="s">
        <v>147</v>
      </c>
      <c r="P8" s="206"/>
      <c r="Q8" s="206"/>
      <c r="R8" s="206"/>
      <c r="S8" s="206"/>
      <c r="T8" s="128"/>
      <c r="U8" s="204" t="s">
        <v>105</v>
      </c>
      <c r="V8" s="202" t="s">
        <v>1</v>
      </c>
      <c r="W8" s="195" t="s">
        <v>34</v>
      </c>
    </row>
    <row r="9" spans="1:23" ht="18.75">
      <c r="A9" s="201"/>
      <c r="B9" s="203"/>
      <c r="C9" s="120" t="s">
        <v>90</v>
      </c>
      <c r="D9" s="120" t="s">
        <v>91</v>
      </c>
      <c r="E9" s="120" t="s">
        <v>92</v>
      </c>
      <c r="F9" s="120" t="s">
        <v>93</v>
      </c>
      <c r="G9" s="120" t="s">
        <v>94</v>
      </c>
      <c r="H9" s="120" t="s">
        <v>95</v>
      </c>
      <c r="I9" s="120" t="s">
        <v>90</v>
      </c>
      <c r="J9" s="120" t="s">
        <v>91</v>
      </c>
      <c r="K9" s="120" t="s">
        <v>92</v>
      </c>
      <c r="L9" s="120" t="s">
        <v>93</v>
      </c>
      <c r="M9" s="112" t="s">
        <v>94</v>
      </c>
      <c r="N9" s="120" t="s">
        <v>95</v>
      </c>
      <c r="O9" s="112" t="s">
        <v>90</v>
      </c>
      <c r="P9" s="112" t="s">
        <v>91</v>
      </c>
      <c r="Q9" s="112" t="s">
        <v>92</v>
      </c>
      <c r="R9" s="112" t="s">
        <v>93</v>
      </c>
      <c r="S9" s="112" t="s">
        <v>94</v>
      </c>
      <c r="T9" s="120" t="s">
        <v>95</v>
      </c>
      <c r="U9" s="203"/>
      <c r="V9" s="203"/>
      <c r="W9" s="196"/>
    </row>
    <row r="10" spans="1:23" ht="18.75">
      <c r="A10" s="52">
        <v>1</v>
      </c>
      <c r="B10" s="49" t="s">
        <v>141</v>
      </c>
      <c r="C10" s="53">
        <v>1</v>
      </c>
      <c r="D10" s="53"/>
      <c r="E10" s="53">
        <v>2</v>
      </c>
      <c r="F10" s="53">
        <v>2</v>
      </c>
      <c r="G10" s="53">
        <v>5</v>
      </c>
      <c r="H10" s="53">
        <v>3</v>
      </c>
      <c r="I10" s="53">
        <v>15</v>
      </c>
      <c r="J10" s="53">
        <v>20</v>
      </c>
      <c r="K10" s="53">
        <v>6</v>
      </c>
      <c r="L10" s="53">
        <v>4</v>
      </c>
      <c r="M10" s="53">
        <v>6</v>
      </c>
      <c r="N10" s="53">
        <v>9</v>
      </c>
      <c r="O10" s="53">
        <v>73</v>
      </c>
      <c r="P10" s="53">
        <v>52</v>
      </c>
      <c r="Q10" s="53">
        <v>66</v>
      </c>
      <c r="R10" s="53">
        <v>47</v>
      </c>
      <c r="S10" s="53">
        <v>50</v>
      </c>
      <c r="T10" s="53">
        <v>56</v>
      </c>
      <c r="U10" s="53">
        <f>SUM(C10:T10)</f>
        <v>417</v>
      </c>
      <c r="V10" s="53">
        <f>(C10+D10+E10+F10+G10+H10)*90000+(O10+P10+Q10+R10+S10+T10)*30000+(I10+J10+K10+L10+M10+N10)*40000</f>
        <v>13890000</v>
      </c>
      <c r="W10" s="50"/>
    </row>
    <row r="11" spans="1:23" ht="18.75">
      <c r="A11" s="52">
        <v>2</v>
      </c>
      <c r="B11" s="49" t="s">
        <v>140</v>
      </c>
      <c r="C11" s="53"/>
      <c r="D11" s="53">
        <v>2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>
        <f aca="true" t="shared" si="0" ref="U11:U19">SUM(C11:T11)</f>
        <v>2</v>
      </c>
      <c r="V11" s="53">
        <f>(C11+D11+E11+F11+G11+H11)*90000+(O11+P11+Q11+R11+S11+T11)*30000+(I11+J11+K11+L11+M11+N11)*40000</f>
        <v>180000</v>
      </c>
      <c r="W11" s="50"/>
    </row>
    <row r="12" spans="1:23" ht="18.75">
      <c r="A12" s="52">
        <v>3</v>
      </c>
      <c r="B12" s="49" t="s">
        <v>53</v>
      </c>
      <c r="C12" s="53"/>
      <c r="D12" s="53"/>
      <c r="E12" s="53"/>
      <c r="F12" s="53"/>
      <c r="G12" s="53"/>
      <c r="H12" s="53"/>
      <c r="I12" s="53">
        <v>5</v>
      </c>
      <c r="J12" s="53">
        <v>8</v>
      </c>
      <c r="K12" s="53">
        <v>2</v>
      </c>
      <c r="L12" s="53">
        <v>2</v>
      </c>
      <c r="M12" s="53">
        <v>1</v>
      </c>
      <c r="N12" s="53">
        <v>3</v>
      </c>
      <c r="O12" s="53"/>
      <c r="P12" s="53"/>
      <c r="Q12" s="53"/>
      <c r="R12" s="53"/>
      <c r="S12" s="53"/>
      <c r="T12" s="53"/>
      <c r="U12" s="53">
        <f t="shared" si="0"/>
        <v>21</v>
      </c>
      <c r="V12" s="53">
        <f>(C12+D12+E12+F12+G12+H12)*90000+(O12+P12+Q12+R12+S12+T12)*30000+(I12+J12+K12+L12+M12+N12)*40000</f>
        <v>840000</v>
      </c>
      <c r="W12" s="50"/>
    </row>
    <row r="13" spans="1:23" ht="18.75">
      <c r="A13" s="52">
        <v>4</v>
      </c>
      <c r="B13" s="49" t="s">
        <v>37</v>
      </c>
      <c r="C13" s="53"/>
      <c r="D13" s="53"/>
      <c r="E13" s="53"/>
      <c r="F13" s="53"/>
      <c r="G13" s="53">
        <v>1</v>
      </c>
      <c r="H13" s="53"/>
      <c r="I13" s="53"/>
      <c r="J13" s="53">
        <v>2</v>
      </c>
      <c r="K13" s="53"/>
      <c r="L13" s="53"/>
      <c r="M13" s="53">
        <v>2</v>
      </c>
      <c r="N13" s="53">
        <v>1</v>
      </c>
      <c r="O13" s="53"/>
      <c r="P13" s="53"/>
      <c r="Q13" s="53"/>
      <c r="R13" s="53"/>
      <c r="S13" s="53"/>
      <c r="T13" s="53"/>
      <c r="U13" s="53">
        <f t="shared" si="0"/>
        <v>6</v>
      </c>
      <c r="V13" s="53">
        <f>(C13+D13+E13+F13+G13+H13)*90000+(O13+P13+Q13+R13+S13+T13)*30000+(I13+J13+K13+L13+M13+N13)*40000</f>
        <v>290000</v>
      </c>
      <c r="W13" s="50"/>
    </row>
    <row r="14" spans="1:23" ht="18.75">
      <c r="A14" s="52">
        <v>5</v>
      </c>
      <c r="B14" s="49" t="s">
        <v>144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>
        <f t="shared" si="0"/>
        <v>0</v>
      </c>
      <c r="V14" s="53">
        <f>(C14+D14+E14+F14+G14+H14)*65000+(O14+P14+Q14+R14+S14+T14)*18000+(I14+J14+K14+L14+M14+N14)*30000</f>
        <v>0</v>
      </c>
      <c r="W14" s="50"/>
    </row>
    <row r="15" spans="1:23" ht="18.75">
      <c r="A15" s="52">
        <v>6</v>
      </c>
      <c r="B15" s="49" t="s">
        <v>143</v>
      </c>
      <c r="C15" s="53">
        <v>1</v>
      </c>
      <c r="D15" s="53">
        <v>2</v>
      </c>
      <c r="E15" s="53">
        <v>2</v>
      </c>
      <c r="F15" s="53">
        <v>2</v>
      </c>
      <c r="G15" s="53">
        <v>5</v>
      </c>
      <c r="H15" s="53">
        <v>3</v>
      </c>
      <c r="I15" s="53">
        <v>20</v>
      </c>
      <c r="J15" s="53">
        <v>20</v>
      </c>
      <c r="K15" s="53">
        <v>6</v>
      </c>
      <c r="L15" s="53">
        <v>4</v>
      </c>
      <c r="M15" s="53">
        <v>6</v>
      </c>
      <c r="N15" s="53">
        <v>9</v>
      </c>
      <c r="O15" s="53">
        <v>73</v>
      </c>
      <c r="P15" s="53">
        <v>52</v>
      </c>
      <c r="Q15" s="53">
        <v>66</v>
      </c>
      <c r="R15" s="53">
        <v>47</v>
      </c>
      <c r="S15" s="53">
        <v>50</v>
      </c>
      <c r="T15" s="53">
        <v>56</v>
      </c>
      <c r="U15" s="53">
        <f>SUM(C15:T15)</f>
        <v>424</v>
      </c>
      <c r="V15" s="53">
        <f>(C15+D15+E15+F15+G15+H15)*65000+(O15+P15+Q15+R15+S15+T15)*18000+(I15+J15+K15+L15+M15+N15)*30000</f>
        <v>9117000</v>
      </c>
      <c r="W15" s="50"/>
    </row>
    <row r="16" spans="1:23" ht="18.75">
      <c r="A16" s="52">
        <v>7</v>
      </c>
      <c r="B16" s="49" t="s">
        <v>150</v>
      </c>
      <c r="C16" s="53"/>
      <c r="D16" s="53"/>
      <c r="E16" s="53"/>
      <c r="F16" s="53"/>
      <c r="G16" s="53"/>
      <c r="H16" s="53"/>
      <c r="I16" s="53"/>
      <c r="J16" s="53">
        <v>8</v>
      </c>
      <c r="K16" s="53"/>
      <c r="L16" s="53">
        <v>2</v>
      </c>
      <c r="M16" s="53"/>
      <c r="N16" s="53">
        <v>2</v>
      </c>
      <c r="O16" s="53"/>
      <c r="P16" s="53"/>
      <c r="Q16" s="53"/>
      <c r="R16" s="53"/>
      <c r="S16" s="53"/>
      <c r="T16" s="53"/>
      <c r="U16" s="53"/>
      <c r="V16" s="53">
        <f>(C16+D16+E16+F16+G16+H16)*65000+(O16+P16+Q16+R16+S16+T16)*18000+(I16+J16+K16+L16+M16+N16)*30000</f>
        <v>360000</v>
      </c>
      <c r="W16" s="50"/>
    </row>
    <row r="17" spans="1:23" ht="18.75">
      <c r="A17" s="52">
        <v>8</v>
      </c>
      <c r="B17" s="49" t="s">
        <v>146</v>
      </c>
      <c r="C17" s="53"/>
      <c r="D17" s="53"/>
      <c r="E17" s="53"/>
      <c r="F17" s="53">
        <v>2</v>
      </c>
      <c r="G17" s="53">
        <v>5</v>
      </c>
      <c r="H17" s="53"/>
      <c r="I17" s="53"/>
      <c r="J17" s="53"/>
      <c r="K17" s="53"/>
      <c r="L17" s="53">
        <v>4</v>
      </c>
      <c r="M17" s="53">
        <v>6</v>
      </c>
      <c r="N17" s="53"/>
      <c r="O17" s="53"/>
      <c r="P17" s="53"/>
      <c r="Q17" s="53"/>
      <c r="R17" s="53">
        <v>47</v>
      </c>
      <c r="S17" s="53">
        <v>50</v>
      </c>
      <c r="T17" s="53"/>
      <c r="U17" s="53">
        <f t="shared" si="0"/>
        <v>114</v>
      </c>
      <c r="V17" s="53">
        <f>(C17+D17+E17+F17+G17+H17)*50000+(O17+P17+Q17+R17+S17+T17)*9000+(I17+J17+K17+L17+M17+N17)*18000</f>
        <v>1403000</v>
      </c>
      <c r="W17" s="50"/>
    </row>
    <row r="18" spans="1:23" ht="18.75">
      <c r="A18" s="52">
        <v>9</v>
      </c>
      <c r="B18" s="49" t="s">
        <v>73</v>
      </c>
      <c r="C18" s="53"/>
      <c r="D18" s="53"/>
      <c r="E18" s="53"/>
      <c r="F18" s="53"/>
      <c r="G18" s="53">
        <v>1</v>
      </c>
      <c r="H18" s="53"/>
      <c r="I18" s="53"/>
      <c r="J18" s="53">
        <v>2</v>
      </c>
      <c r="K18" s="53"/>
      <c r="L18" s="53"/>
      <c r="M18" s="53">
        <v>3</v>
      </c>
      <c r="N18" s="53">
        <v>2</v>
      </c>
      <c r="O18" s="53"/>
      <c r="P18" s="53"/>
      <c r="Q18" s="53"/>
      <c r="R18" s="53"/>
      <c r="S18" s="53"/>
      <c r="T18" s="53"/>
      <c r="U18" s="53"/>
      <c r="V18" s="53">
        <f>(C18+D18+E18+F18+G18+H18)*65000+(O18+P18+Q18+R18+S18+T18)*18000+(I18+J18+K18+L18+M18+N18)*30000</f>
        <v>275000</v>
      </c>
      <c r="W18" s="50"/>
    </row>
    <row r="19" spans="1:23" ht="18.75">
      <c r="A19" s="52">
        <v>10</v>
      </c>
      <c r="B19" s="49" t="s">
        <v>139</v>
      </c>
      <c r="C19" s="53"/>
      <c r="D19" s="53"/>
      <c r="E19" s="53"/>
      <c r="F19" s="53"/>
      <c r="G19" s="53">
        <v>1</v>
      </c>
      <c r="H19" s="53"/>
      <c r="I19" s="53">
        <v>3</v>
      </c>
      <c r="J19" s="53">
        <v>10</v>
      </c>
      <c r="K19" s="53">
        <v>2</v>
      </c>
      <c r="L19" s="53">
        <v>2</v>
      </c>
      <c r="M19" s="53">
        <v>3</v>
      </c>
      <c r="N19" s="53">
        <v>4</v>
      </c>
      <c r="O19" s="53"/>
      <c r="P19" s="53"/>
      <c r="Q19" s="53"/>
      <c r="R19" s="53"/>
      <c r="S19" s="53"/>
      <c r="T19" s="53"/>
      <c r="U19" s="53">
        <f t="shared" si="0"/>
        <v>25</v>
      </c>
      <c r="V19" s="53">
        <f>(C19+D19+E19+F19+G19+H19)*50000+(O19+P19+Q19+R19+S19+T19)*9000+(I19+J19+L19+M19+N19)*18000+K19*30000</f>
        <v>506000</v>
      </c>
      <c r="W19" s="50"/>
    </row>
    <row r="20" spans="1:23" ht="19.5" thickBot="1">
      <c r="A20" s="52">
        <v>11</v>
      </c>
      <c r="B20" s="49" t="s">
        <v>142</v>
      </c>
      <c r="C20" s="53">
        <v>1</v>
      </c>
      <c r="D20" s="53">
        <v>2</v>
      </c>
      <c r="E20" s="53">
        <v>2</v>
      </c>
      <c r="F20" s="53"/>
      <c r="G20" s="53"/>
      <c r="H20" s="53">
        <v>3</v>
      </c>
      <c r="I20" s="53">
        <v>17</v>
      </c>
      <c r="J20" s="53">
        <v>20</v>
      </c>
      <c r="K20" s="53">
        <f>6+2</f>
        <v>8</v>
      </c>
      <c r="L20" s="53"/>
      <c r="M20" s="53"/>
      <c r="N20" s="53">
        <v>9</v>
      </c>
      <c r="O20" s="53">
        <v>73</v>
      </c>
      <c r="P20" s="53">
        <v>52</v>
      </c>
      <c r="Q20" s="53">
        <v>66</v>
      </c>
      <c r="R20" s="53"/>
      <c r="S20" s="53"/>
      <c r="T20" s="53">
        <v>56</v>
      </c>
      <c r="U20" s="53">
        <f>SUM(C20:T20)</f>
        <v>309</v>
      </c>
      <c r="V20" s="53">
        <f>(C20+D20+E20+F20+G20+H20)*50000+(O20+P20+Q20+R20+S20+T20)*9000+(I20+J20+K20+L20+M20+N20)*18000</f>
        <v>3595000</v>
      </c>
      <c r="W20" s="50"/>
    </row>
    <row r="21" spans="1:23" ht="19.5" thickBot="1">
      <c r="A21" s="55">
        <v>11</v>
      </c>
      <c r="B21" s="56" t="s">
        <v>3</v>
      </c>
      <c r="C21" s="57">
        <f aca="true" t="shared" si="1" ref="C21:K21">SUM(C10:C19)</f>
        <v>2</v>
      </c>
      <c r="D21" s="57">
        <f t="shared" si="1"/>
        <v>4</v>
      </c>
      <c r="E21" s="57">
        <f t="shared" si="1"/>
        <v>4</v>
      </c>
      <c r="F21" s="57">
        <f t="shared" si="1"/>
        <v>6</v>
      </c>
      <c r="G21" s="57">
        <f t="shared" si="1"/>
        <v>18</v>
      </c>
      <c r="H21" s="57">
        <f t="shared" si="1"/>
        <v>6</v>
      </c>
      <c r="I21" s="57">
        <f t="shared" si="1"/>
        <v>43</v>
      </c>
      <c r="J21" s="57">
        <f t="shared" si="1"/>
        <v>70</v>
      </c>
      <c r="K21" s="57">
        <f t="shared" si="1"/>
        <v>16</v>
      </c>
      <c r="L21" s="57"/>
      <c r="M21" s="57"/>
      <c r="N21" s="57"/>
      <c r="O21" s="57">
        <f aca="true" t="shared" si="2" ref="O21:U21">SUM(O10:O19)</f>
        <v>146</v>
      </c>
      <c r="P21" s="57">
        <f t="shared" si="2"/>
        <v>104</v>
      </c>
      <c r="Q21" s="57">
        <f t="shared" si="2"/>
        <v>132</v>
      </c>
      <c r="R21" s="57">
        <f t="shared" si="2"/>
        <v>141</v>
      </c>
      <c r="S21" s="57">
        <f t="shared" si="2"/>
        <v>150</v>
      </c>
      <c r="T21" s="57">
        <f t="shared" si="2"/>
        <v>112</v>
      </c>
      <c r="U21" s="57">
        <f t="shared" si="2"/>
        <v>1009</v>
      </c>
      <c r="V21" s="57">
        <f>SUM(V10:V20)</f>
        <v>30456000</v>
      </c>
      <c r="W21" s="58"/>
    </row>
    <row r="22" ht="19.5" thickTop="1"/>
    <row r="23" spans="1:23" ht="18.75">
      <c r="A23" s="199" t="s">
        <v>104</v>
      </c>
      <c r="B23" s="199"/>
      <c r="C23" s="129"/>
      <c r="D23" s="129"/>
      <c r="E23" s="129"/>
      <c r="F23" s="129"/>
      <c r="G23" s="129"/>
      <c r="H23" s="117"/>
      <c r="I23" s="117"/>
      <c r="J23" s="117"/>
      <c r="K23" s="117"/>
      <c r="L23" s="117"/>
      <c r="M23" s="117"/>
      <c r="N23" s="117"/>
      <c r="O23" s="117"/>
      <c r="P23" s="117"/>
      <c r="Q23" s="1"/>
      <c r="R23"/>
      <c r="S23"/>
      <c r="T23"/>
      <c r="U23"/>
      <c r="V23"/>
      <c r="W23"/>
    </row>
    <row r="24" spans="1:23" ht="18.75">
      <c r="A24" s="51" t="s">
        <v>128</v>
      </c>
      <c r="C24" s="51" t="s">
        <v>127</v>
      </c>
      <c r="I24" s="51" t="s">
        <v>129</v>
      </c>
      <c r="Q24"/>
      <c r="R24"/>
      <c r="S24"/>
      <c r="T24"/>
      <c r="U24"/>
      <c r="V24"/>
      <c r="W24"/>
    </row>
    <row r="25" spans="1:23" ht="18.75">
      <c r="A25" s="45" t="s">
        <v>119</v>
      </c>
      <c r="C25" s="45" t="s">
        <v>122</v>
      </c>
      <c r="I25" s="45" t="s">
        <v>125</v>
      </c>
      <c r="Q25"/>
      <c r="R25"/>
      <c r="S25"/>
      <c r="T25"/>
      <c r="U25"/>
      <c r="V25"/>
      <c r="W25"/>
    </row>
    <row r="26" spans="1:23" ht="18.75">
      <c r="A26" s="45" t="s">
        <v>120</v>
      </c>
      <c r="C26" s="45" t="s">
        <v>123</v>
      </c>
      <c r="I26" s="45" t="s">
        <v>126</v>
      </c>
      <c r="Q26"/>
      <c r="R26"/>
      <c r="S26"/>
      <c r="T26"/>
      <c r="U26"/>
      <c r="V26"/>
      <c r="W26"/>
    </row>
    <row r="27" spans="1:23" ht="18.75">
      <c r="A27" s="45" t="s">
        <v>121</v>
      </c>
      <c r="C27" s="45" t="s">
        <v>124</v>
      </c>
      <c r="I27" s="45" t="s">
        <v>89</v>
      </c>
      <c r="Q27"/>
      <c r="R27"/>
      <c r="S27"/>
      <c r="T27"/>
      <c r="U27"/>
      <c r="V27"/>
      <c r="W27"/>
    </row>
    <row r="28" spans="20:23" ht="18.75">
      <c r="T28" s="197"/>
      <c r="U28" s="197"/>
      <c r="V28" s="197"/>
      <c r="W28" s="197"/>
    </row>
    <row r="29" spans="19:23" ht="18.75">
      <c r="S29" s="197" t="s">
        <v>87</v>
      </c>
      <c r="T29" s="197"/>
      <c r="U29" s="197"/>
      <c r="V29" s="197"/>
      <c r="W29" s="197"/>
    </row>
    <row r="30" spans="1:23" ht="18.75">
      <c r="A30" s="51"/>
      <c r="B30" s="51" t="s">
        <v>88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153" t="s">
        <v>48</v>
      </c>
      <c r="T30" s="153"/>
      <c r="U30" s="153"/>
      <c r="V30" s="153"/>
      <c r="W30" s="153"/>
    </row>
    <row r="32" ht="18.75">
      <c r="B32" s="130">
        <f>'TT NỘI SOI'!J14+'TT SẢN'!K13+'TT HSCC'!M36+'TT NGOẠI'!S16+'PT SẢN'!L17+'PT HSCC'!N43+'PT NGOẠI'!V21</f>
        <v>71321500</v>
      </c>
    </row>
    <row r="35" spans="1:23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 s="113"/>
      <c r="V35"/>
      <c r="W35"/>
    </row>
  </sheetData>
  <sheetProtection/>
  <mergeCells count="17">
    <mergeCell ref="S30:W30"/>
    <mergeCell ref="I8:N8"/>
    <mergeCell ref="U8:U9"/>
    <mergeCell ref="V8:V9"/>
    <mergeCell ref="W8:W9"/>
    <mergeCell ref="A23:B23"/>
    <mergeCell ref="T28:W28"/>
    <mergeCell ref="S29:W29"/>
    <mergeCell ref="A1:P1"/>
    <mergeCell ref="A2:P2"/>
    <mergeCell ref="A4:W4"/>
    <mergeCell ref="A5:W5"/>
    <mergeCell ref="A6:B6"/>
    <mergeCell ref="A8:A9"/>
    <mergeCell ref="B8:B9"/>
    <mergeCell ref="C8:H8"/>
    <mergeCell ref="O8:S8"/>
  </mergeCells>
  <printOptions/>
  <pageMargins left="0.43" right="0.2" top="0.75" bottom="0.75" header="0.3" footer="0.3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X58"/>
  <sheetViews>
    <sheetView zoomScalePageLayoutView="0" workbookViewId="0" topLeftCell="A28">
      <selection activeCell="C39" sqref="C39"/>
    </sheetView>
  </sheetViews>
  <sheetFormatPr defaultColWidth="9.140625" defaultRowHeight="15"/>
  <cols>
    <col min="1" max="1" width="6.8515625" style="111" customWidth="1"/>
    <col min="2" max="2" width="27.00390625" style="45" customWidth="1"/>
    <col min="3" max="3" width="26.00390625" style="45" customWidth="1"/>
    <col min="4" max="4" width="19.140625" style="45" customWidth="1"/>
    <col min="5" max="5" width="16.00390625" style="45" customWidth="1"/>
    <col min="6" max="6" width="9.140625" style="45" customWidth="1"/>
    <col min="7" max="7" width="21.57421875" style="45" customWidth="1"/>
    <col min="8" max="16384" width="9.140625" style="45" customWidth="1"/>
  </cols>
  <sheetData>
    <row r="1" spans="1:17" ht="18.75">
      <c r="A1" s="208" t="s">
        <v>47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18.75">
      <c r="A2" s="208" t="s">
        <v>107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24" ht="2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2"/>
      <c r="R3" s="122"/>
      <c r="S3" s="122"/>
      <c r="T3" s="122"/>
      <c r="U3" s="122"/>
      <c r="V3" s="122"/>
      <c r="W3" s="122"/>
      <c r="X3" s="122"/>
    </row>
    <row r="4" spans="1:24" ht="42" customHeight="1">
      <c r="A4" s="211" t="s">
        <v>156</v>
      </c>
      <c r="B4" s="211"/>
      <c r="C4" s="211"/>
      <c r="D4" s="211"/>
      <c r="E4" s="211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</row>
    <row r="5" spans="1:24" ht="21" customHeight="1">
      <c r="A5" s="221" t="s">
        <v>99</v>
      </c>
      <c r="B5" s="221"/>
      <c r="C5" s="221"/>
      <c r="D5" s="221"/>
      <c r="E5" s="221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</row>
    <row r="6" spans="1:24" ht="21" customHeight="1">
      <c r="A6" s="141"/>
      <c r="B6" s="141"/>
      <c r="C6" s="141"/>
      <c r="D6" s="141"/>
      <c r="E6" s="141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</row>
    <row r="7" spans="1:24" ht="21" customHeight="1">
      <c r="A7" s="222" t="s">
        <v>155</v>
      </c>
      <c r="B7" s="222"/>
      <c r="C7" s="222"/>
      <c r="D7" s="222"/>
      <c r="E7" s="222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</row>
    <row r="8" spans="1:24" ht="21" customHeight="1" thickBot="1">
      <c r="A8" s="140"/>
      <c r="B8" s="140"/>
      <c r="C8" s="140"/>
      <c r="D8" s="140"/>
      <c r="E8" s="140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</row>
    <row r="9" spans="1:5" s="135" customFormat="1" ht="38.25" customHeight="1" thickBot="1" thickTop="1">
      <c r="A9" s="132" t="s">
        <v>0</v>
      </c>
      <c r="B9" s="133" t="s">
        <v>32</v>
      </c>
      <c r="C9" s="133" t="s">
        <v>153</v>
      </c>
      <c r="D9" s="133" t="s">
        <v>151</v>
      </c>
      <c r="E9" s="134" t="s">
        <v>152</v>
      </c>
    </row>
    <row r="10" spans="1:5" ht="18.75">
      <c r="A10" s="52">
        <v>1</v>
      </c>
      <c r="B10" s="49" t="s">
        <v>30</v>
      </c>
      <c r="C10" s="143">
        <v>4002215001532</v>
      </c>
      <c r="D10" s="53">
        <v>7536900</v>
      </c>
      <c r="E10" s="50"/>
    </row>
    <row r="11" spans="1:5" ht="18.75">
      <c r="A11" s="54">
        <v>2</v>
      </c>
      <c r="B11" s="46" t="s">
        <v>59</v>
      </c>
      <c r="C11" s="143">
        <v>4002215002910</v>
      </c>
      <c r="D11" s="48">
        <f>1502200+25900+410000</f>
        <v>1938100</v>
      </c>
      <c r="E11" s="47"/>
    </row>
    <row r="12" spans="1:5" ht="18.75">
      <c r="A12" s="52">
        <v>3</v>
      </c>
      <c r="B12" s="46" t="s">
        <v>64</v>
      </c>
      <c r="C12" s="143">
        <v>4002215003833</v>
      </c>
      <c r="D12" s="48">
        <f>6526300+516000+50000</f>
        <v>7092300</v>
      </c>
      <c r="E12" s="47"/>
    </row>
    <row r="13" spans="1:5" ht="18.75">
      <c r="A13" s="54">
        <v>4</v>
      </c>
      <c r="B13" s="46" t="s">
        <v>33</v>
      </c>
      <c r="C13" s="143">
        <v>4002215002167</v>
      </c>
      <c r="D13" s="48">
        <v>4990700</v>
      </c>
      <c r="E13" s="47"/>
    </row>
    <row r="14" spans="1:5" ht="18.75">
      <c r="A14" s="52">
        <v>5</v>
      </c>
      <c r="B14" s="46" t="s">
        <v>37</v>
      </c>
      <c r="C14" s="143">
        <v>4002215002144</v>
      </c>
      <c r="D14" s="48">
        <f>86800+150000+25900+40000+290000</f>
        <v>592700</v>
      </c>
      <c r="E14" s="47"/>
    </row>
    <row r="15" spans="1:5" ht="18.75">
      <c r="A15" s="54">
        <v>6</v>
      </c>
      <c r="B15" s="46" t="s">
        <v>44</v>
      </c>
      <c r="C15" s="143">
        <v>4002215003646</v>
      </c>
      <c r="D15" s="48">
        <f>78400+590000</f>
        <v>668400</v>
      </c>
      <c r="E15" s="47"/>
    </row>
    <row r="16" spans="1:5" ht="18.75">
      <c r="A16" s="52">
        <v>7</v>
      </c>
      <c r="B16" s="46" t="s">
        <v>38</v>
      </c>
      <c r="C16" s="143">
        <v>4002215002115</v>
      </c>
      <c r="D16" s="48">
        <f>121200+543000</f>
        <v>664200</v>
      </c>
      <c r="E16" s="47"/>
    </row>
    <row r="17" spans="1:5" ht="18.75">
      <c r="A17" s="54">
        <v>8</v>
      </c>
      <c r="B17" s="46" t="s">
        <v>45</v>
      </c>
      <c r="C17" s="143">
        <v>4002215002109</v>
      </c>
      <c r="D17" s="48">
        <f>72500+357000</f>
        <v>429500</v>
      </c>
      <c r="E17" s="47"/>
    </row>
    <row r="18" spans="1:5" ht="18.75">
      <c r="A18" s="52">
        <v>9</v>
      </c>
      <c r="B18" s="46" t="s">
        <v>53</v>
      </c>
      <c r="C18" s="143">
        <v>4002215002121</v>
      </c>
      <c r="D18" s="48">
        <f>670000+42700+280000+840000</f>
        <v>1832700</v>
      </c>
      <c r="E18" s="47"/>
    </row>
    <row r="19" spans="1:5" ht="18.75">
      <c r="A19" s="54">
        <v>10</v>
      </c>
      <c r="B19" s="46" t="s">
        <v>73</v>
      </c>
      <c r="C19" s="143">
        <v>4002215022214</v>
      </c>
      <c r="D19" s="48">
        <f>495000+156000+275000</f>
        <v>926000</v>
      </c>
      <c r="E19" s="47"/>
    </row>
    <row r="20" spans="1:5" ht="18.75">
      <c r="A20" s="52">
        <v>11</v>
      </c>
      <c r="B20" s="46" t="s">
        <v>46</v>
      </c>
      <c r="C20" s="143">
        <v>4002215002071</v>
      </c>
      <c r="D20" s="48">
        <v>330000</v>
      </c>
      <c r="E20" s="47"/>
    </row>
    <row r="21" spans="1:5" ht="18.75">
      <c r="A21" s="54">
        <v>12</v>
      </c>
      <c r="B21" s="136" t="s">
        <v>54</v>
      </c>
      <c r="C21" s="143">
        <v>4002215003731</v>
      </c>
      <c r="D21" s="137">
        <f>470400+690000</f>
        <v>1160400</v>
      </c>
      <c r="E21" s="47"/>
    </row>
    <row r="22" spans="1:5" ht="18.75">
      <c r="A22" s="52">
        <v>13</v>
      </c>
      <c r="B22" s="46" t="s">
        <v>56</v>
      </c>
      <c r="C22" s="143">
        <v>4002215001809</v>
      </c>
      <c r="D22" s="48">
        <f>352800+330000</f>
        <v>682800</v>
      </c>
      <c r="E22" s="47"/>
    </row>
    <row r="23" spans="1:5" ht="18.75">
      <c r="A23" s="54">
        <v>14</v>
      </c>
      <c r="B23" s="46" t="s">
        <v>58</v>
      </c>
      <c r="C23" s="143">
        <v>4002215001880</v>
      </c>
      <c r="D23" s="48">
        <f>218400+180000</f>
        <v>398400</v>
      </c>
      <c r="E23" s="47"/>
    </row>
    <row r="24" spans="1:5" ht="18.75">
      <c r="A24" s="52">
        <v>15</v>
      </c>
      <c r="B24" s="46" t="s">
        <v>50</v>
      </c>
      <c r="C24" s="143">
        <v>4002215001838</v>
      </c>
      <c r="D24" s="48">
        <f>890400+780000</f>
        <v>1670400</v>
      </c>
      <c r="E24" s="47"/>
    </row>
    <row r="25" spans="1:5" ht="18.75">
      <c r="A25" s="54">
        <v>16</v>
      </c>
      <c r="B25" s="46" t="s">
        <v>55</v>
      </c>
      <c r="C25" s="143">
        <v>4002215002319</v>
      </c>
      <c r="D25" s="48">
        <f>25900+540000</f>
        <v>565900</v>
      </c>
      <c r="E25" s="47"/>
    </row>
    <row r="26" spans="1:5" ht="18.75">
      <c r="A26" s="52">
        <v>17</v>
      </c>
      <c r="B26" s="46" t="s">
        <v>49</v>
      </c>
      <c r="C26" s="143">
        <v>4002215001821</v>
      </c>
      <c r="D26" s="48">
        <f>25900+420000</f>
        <v>445900</v>
      </c>
      <c r="E26" s="47"/>
    </row>
    <row r="27" spans="1:5" ht="18.75">
      <c r="A27" s="54">
        <v>18</v>
      </c>
      <c r="B27" s="46" t="s">
        <v>57</v>
      </c>
      <c r="C27" s="143">
        <v>4002215003630</v>
      </c>
      <c r="D27" s="48">
        <f>8400+360000</f>
        <v>368400</v>
      </c>
      <c r="E27" s="47"/>
    </row>
    <row r="28" spans="1:5" ht="18.75">
      <c r="A28" s="52">
        <v>19</v>
      </c>
      <c r="B28" s="46" t="s">
        <v>51</v>
      </c>
      <c r="C28" s="143">
        <v>4002215002383</v>
      </c>
      <c r="D28" s="48">
        <f>33600+330000</f>
        <v>363600</v>
      </c>
      <c r="E28" s="47"/>
    </row>
    <row r="29" spans="1:5" ht="18.75">
      <c r="A29" s="54">
        <v>20</v>
      </c>
      <c r="B29" s="46" t="s">
        <v>52</v>
      </c>
      <c r="C29" s="143">
        <v>4002215001815</v>
      </c>
      <c r="D29" s="48">
        <f>8400+90000</f>
        <v>98400</v>
      </c>
      <c r="E29" s="47"/>
    </row>
    <row r="30" spans="1:5" ht="18.75">
      <c r="A30" s="52">
        <v>21</v>
      </c>
      <c r="B30" s="46" t="s">
        <v>74</v>
      </c>
      <c r="C30" s="143">
        <v>4002215022220</v>
      </c>
      <c r="D30" s="48">
        <f>142500+684000</f>
        <v>826500</v>
      </c>
      <c r="E30" s="47"/>
    </row>
    <row r="31" spans="1:5" ht="18.75">
      <c r="A31" s="54">
        <v>22</v>
      </c>
      <c r="B31" s="46" t="s">
        <v>61</v>
      </c>
      <c r="C31" s="143">
        <v>4002215002036</v>
      </c>
      <c r="D31" s="48">
        <f>10000+18000</f>
        <v>28000</v>
      </c>
      <c r="E31" s="47"/>
    </row>
    <row r="32" spans="1:5" ht="18.75">
      <c r="A32" s="52">
        <v>23</v>
      </c>
      <c r="B32" s="46" t="s">
        <v>67</v>
      </c>
      <c r="C32" s="143">
        <v>4002215006513</v>
      </c>
      <c r="D32" s="48">
        <f>229200+879000</f>
        <v>1108200</v>
      </c>
      <c r="E32" s="47"/>
    </row>
    <row r="33" spans="1:5" ht="18.75">
      <c r="A33" s="54">
        <v>24</v>
      </c>
      <c r="B33" s="46" t="s">
        <v>112</v>
      </c>
      <c r="C33" s="143">
        <v>4002215022193</v>
      </c>
      <c r="D33" s="48">
        <f>139300+189000</f>
        <v>328300</v>
      </c>
      <c r="E33" s="47"/>
    </row>
    <row r="34" spans="1:5" ht="18.75">
      <c r="A34" s="54">
        <v>25</v>
      </c>
      <c r="B34" s="46" t="s">
        <v>60</v>
      </c>
      <c r="C34" s="223">
        <v>4002215001946</v>
      </c>
      <c r="D34" s="48">
        <v>148700</v>
      </c>
      <c r="E34" s="47"/>
    </row>
    <row r="35" spans="1:5" ht="18.75">
      <c r="A35" s="54">
        <v>26</v>
      </c>
      <c r="B35" s="46" t="s">
        <v>113</v>
      </c>
      <c r="C35" s="223">
        <v>4002215001981</v>
      </c>
      <c r="D35" s="48">
        <f>18700+18000</f>
        <v>36700</v>
      </c>
      <c r="E35" s="47"/>
    </row>
    <row r="36" spans="1:5" ht="18.75">
      <c r="A36" s="52">
        <v>27</v>
      </c>
      <c r="B36" s="46" t="s">
        <v>137</v>
      </c>
      <c r="C36" s="143">
        <v>4002215028387</v>
      </c>
      <c r="D36" s="48">
        <f>151800+216000</f>
        <v>367800</v>
      </c>
      <c r="E36" s="47"/>
    </row>
    <row r="37" spans="1:5" ht="18.75">
      <c r="A37" s="54">
        <v>28</v>
      </c>
      <c r="B37" s="46" t="s">
        <v>69</v>
      </c>
      <c r="C37" s="143">
        <v>4002215028393</v>
      </c>
      <c r="D37" s="48">
        <f>290000+207000</f>
        <v>497000</v>
      </c>
      <c r="E37" s="47"/>
    </row>
    <row r="38" spans="1:5" ht="18.75">
      <c r="A38" s="52">
        <v>29</v>
      </c>
      <c r="B38" s="46" t="s">
        <v>62</v>
      </c>
      <c r="C38" s="143">
        <v>4002215011520</v>
      </c>
      <c r="D38" s="48">
        <f>283700+216000</f>
        <v>499700</v>
      </c>
      <c r="E38" s="47"/>
    </row>
    <row r="39" spans="1:5" ht="18.75">
      <c r="A39" s="54">
        <v>30</v>
      </c>
      <c r="B39" s="46" t="s">
        <v>66</v>
      </c>
      <c r="C39" s="143">
        <v>4002215001900</v>
      </c>
      <c r="D39" s="48">
        <f>396800+756000</f>
        <v>1152800</v>
      </c>
      <c r="E39" s="47"/>
    </row>
    <row r="40" spans="1:5" ht="18.75">
      <c r="A40" s="52">
        <v>31</v>
      </c>
      <c r="B40" s="46" t="s">
        <v>71</v>
      </c>
      <c r="C40" s="143">
        <v>4002215002302</v>
      </c>
      <c r="D40" s="48">
        <f>2500+9000</f>
        <v>11500</v>
      </c>
      <c r="E40" s="47"/>
    </row>
    <row r="41" spans="1:5" ht="18.75">
      <c r="A41" s="54">
        <v>32</v>
      </c>
      <c r="B41" s="46" t="s">
        <v>68</v>
      </c>
      <c r="C41" s="143">
        <v>4002215003097</v>
      </c>
      <c r="D41" s="48">
        <f>59300+45000</f>
        <v>104300</v>
      </c>
      <c r="E41" s="47"/>
    </row>
    <row r="42" spans="1:5" ht="18.75">
      <c r="A42" s="52">
        <v>33</v>
      </c>
      <c r="B42" s="46" t="s">
        <v>65</v>
      </c>
      <c r="C42" s="143">
        <v>4002215003840</v>
      </c>
      <c r="D42" s="48">
        <f>27500+18000</f>
        <v>45500</v>
      </c>
      <c r="E42" s="47"/>
    </row>
    <row r="43" spans="1:5" ht="18.75">
      <c r="A43" s="54">
        <v>34</v>
      </c>
      <c r="B43" s="46" t="s">
        <v>140</v>
      </c>
      <c r="C43" s="143">
        <v>4002215002088</v>
      </c>
      <c r="D43" s="48">
        <f>30000+433300+180000</f>
        <v>643300</v>
      </c>
      <c r="E43" s="47"/>
    </row>
    <row r="44" spans="1:5" ht="18.75">
      <c r="A44" s="52">
        <v>35</v>
      </c>
      <c r="B44" s="46" t="s">
        <v>63</v>
      </c>
      <c r="C44" s="143">
        <v>4002215001975</v>
      </c>
      <c r="D44" s="48">
        <v>18000</v>
      </c>
      <c r="E44" s="47"/>
    </row>
    <row r="45" spans="1:5" ht="18.75">
      <c r="A45" s="54">
        <v>36</v>
      </c>
      <c r="B45" s="46" t="s">
        <v>138</v>
      </c>
      <c r="C45" s="143">
        <v>4002215002173</v>
      </c>
      <c r="D45" s="48">
        <v>18000</v>
      </c>
      <c r="E45" s="47"/>
    </row>
    <row r="46" spans="1:5" ht="18.75">
      <c r="A46" s="52">
        <v>37</v>
      </c>
      <c r="B46" s="46" t="s">
        <v>136</v>
      </c>
      <c r="C46" s="143">
        <v>4002215022237</v>
      </c>
      <c r="D46" s="48">
        <f>18000+360000</f>
        <v>378000</v>
      </c>
      <c r="E46" s="47"/>
    </row>
    <row r="47" spans="1:5" ht="18.75">
      <c r="A47" s="54">
        <v>38</v>
      </c>
      <c r="B47" s="46" t="s">
        <v>154</v>
      </c>
      <c r="C47" s="143">
        <v>4002215002427</v>
      </c>
      <c r="D47" s="48">
        <v>27000</v>
      </c>
      <c r="E47" s="47"/>
    </row>
    <row r="48" spans="1:5" ht="18.75">
      <c r="A48" s="52">
        <v>39</v>
      </c>
      <c r="B48" s="46" t="s">
        <v>139</v>
      </c>
      <c r="C48" s="143">
        <v>4002215003783</v>
      </c>
      <c r="D48" s="48">
        <f>72000+506000</f>
        <v>578000</v>
      </c>
      <c r="E48" s="47"/>
    </row>
    <row r="49" spans="1:5" ht="18.75">
      <c r="A49" s="54">
        <v>40</v>
      </c>
      <c r="B49" s="46" t="s">
        <v>72</v>
      </c>
      <c r="C49" s="143">
        <v>4002215002360</v>
      </c>
      <c r="D49" s="48">
        <v>36000</v>
      </c>
      <c r="E49" s="47"/>
    </row>
    <row r="50" spans="1:5" ht="18.75">
      <c r="A50" s="52">
        <v>41</v>
      </c>
      <c r="B50" s="46" t="s">
        <v>141</v>
      </c>
      <c r="C50" s="143">
        <v>4002215002217</v>
      </c>
      <c r="D50" s="48">
        <f>1592500+13890000</f>
        <v>15482500</v>
      </c>
      <c r="E50" s="47"/>
    </row>
    <row r="51" spans="1:5" ht="18.75">
      <c r="A51" s="54">
        <v>42</v>
      </c>
      <c r="B51" s="46" t="s">
        <v>144</v>
      </c>
      <c r="C51" s="143">
        <v>4002215006486</v>
      </c>
      <c r="D51" s="48">
        <v>280900</v>
      </c>
      <c r="E51" s="47"/>
    </row>
    <row r="52" spans="1:5" ht="18.75">
      <c r="A52" s="52">
        <v>43</v>
      </c>
      <c r="B52" s="46" t="s">
        <v>142</v>
      </c>
      <c r="C52" s="143">
        <v>4002215002094</v>
      </c>
      <c r="D52" s="48">
        <f>553200+3595000</f>
        <v>4148200</v>
      </c>
      <c r="E52" s="47"/>
    </row>
    <row r="53" spans="1:5" ht="18.75">
      <c r="A53" s="54">
        <v>44</v>
      </c>
      <c r="B53" s="46" t="s">
        <v>146</v>
      </c>
      <c r="C53" s="143">
        <v>4002215020928</v>
      </c>
      <c r="D53" s="48">
        <f>481600+1403000</f>
        <v>1884600</v>
      </c>
      <c r="E53" s="47"/>
    </row>
    <row r="54" spans="1:5" ht="19.5" thickBot="1">
      <c r="A54" s="52">
        <v>45</v>
      </c>
      <c r="B54" s="46" t="s">
        <v>143</v>
      </c>
      <c r="C54" s="143">
        <v>4002215002196</v>
      </c>
      <c r="D54" s="48">
        <f>799300+9117000</f>
        <v>9916300</v>
      </c>
      <c r="E54" s="47"/>
    </row>
    <row r="55" spans="1:7" s="51" customFormat="1" ht="19.5" thickBot="1">
      <c r="A55" s="55">
        <f>A54</f>
        <v>45</v>
      </c>
      <c r="B55" s="142" t="s">
        <v>3</v>
      </c>
      <c r="C55" s="142"/>
      <c r="D55" s="57">
        <f>SUM(D10:D54)</f>
        <v>71321500</v>
      </c>
      <c r="E55" s="58"/>
      <c r="G55" s="131">
        <f>'TT NỘI SOI'!J14+'TT SẢN'!K13+'TT HSCC'!M36+'TT NGOẠI'!S16+'PT SẢN'!L17+'PT HSCC'!N43+'PT NGOẠI'!V21</f>
        <v>71321500</v>
      </c>
    </row>
    <row r="56" ht="19.5" thickTop="1"/>
    <row r="57" spans="3:5" ht="18.75">
      <c r="C57" s="197" t="s">
        <v>157</v>
      </c>
      <c r="D57" s="197"/>
      <c r="E57" s="197"/>
    </row>
    <row r="58" spans="2:5" ht="18.75">
      <c r="B58" s="51" t="s">
        <v>88</v>
      </c>
      <c r="C58" s="153" t="s">
        <v>48</v>
      </c>
      <c r="D58" s="153"/>
      <c r="E58" s="153"/>
    </row>
  </sheetData>
  <sheetProtection/>
  <mergeCells count="7">
    <mergeCell ref="C58:E58"/>
    <mergeCell ref="A1:Q1"/>
    <mergeCell ref="A2:Q2"/>
    <mergeCell ref="A4:E4"/>
    <mergeCell ref="A5:E5"/>
    <mergeCell ref="C57:E57"/>
    <mergeCell ref="A7:E7"/>
  </mergeCells>
  <printOptions/>
  <pageMargins left="0.41" right="0.32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39"/>
  <sheetViews>
    <sheetView zoomScalePageLayoutView="0" workbookViewId="0" topLeftCell="A19">
      <selection activeCell="G43" sqref="G43"/>
    </sheetView>
  </sheetViews>
  <sheetFormatPr defaultColWidth="9.140625" defaultRowHeight="15"/>
  <cols>
    <col min="1" max="1" width="6.00390625" style="0" customWidth="1"/>
    <col min="2" max="2" width="15.28125" style="0" customWidth="1"/>
    <col min="3" max="3" width="8.57421875" style="0" customWidth="1"/>
    <col min="4" max="4" width="9.28125" style="0" customWidth="1"/>
    <col min="5" max="5" width="9.421875" style="0" customWidth="1"/>
    <col min="6" max="6" width="8.28125" style="0" customWidth="1"/>
    <col min="7" max="7" width="14.57421875" style="0" customWidth="1"/>
    <col min="8" max="8" width="8.00390625" style="0" customWidth="1"/>
    <col min="9" max="9" width="7.421875" style="0" customWidth="1"/>
    <col min="10" max="10" width="7.7109375" style="0" customWidth="1"/>
    <col min="11" max="11" width="10.57421875" style="0" customWidth="1"/>
    <col min="12" max="12" width="13.421875" style="0" customWidth="1"/>
    <col min="13" max="13" width="14.28125" style="0" customWidth="1"/>
    <col min="14" max="14" width="12.8515625" style="0" customWidth="1"/>
  </cols>
  <sheetData>
    <row r="1" spans="1:13" ht="18.75">
      <c r="A1" s="153" t="s">
        <v>78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4:6" ht="15.75" thickBot="1">
      <c r="D2" s="1"/>
      <c r="E2" s="1"/>
      <c r="F2" s="1"/>
    </row>
    <row r="3" spans="1:13" ht="15.75" thickTop="1">
      <c r="A3" s="154" t="s">
        <v>0</v>
      </c>
      <c r="B3" s="156" t="s">
        <v>18</v>
      </c>
      <c r="C3" s="158" t="s">
        <v>13</v>
      </c>
      <c r="D3" s="159"/>
      <c r="E3" s="159"/>
      <c r="F3" s="159"/>
      <c r="G3" s="160"/>
      <c r="H3" s="158" t="s">
        <v>14</v>
      </c>
      <c r="I3" s="159"/>
      <c r="J3" s="159"/>
      <c r="K3" s="159"/>
      <c r="L3" s="160"/>
      <c r="M3" s="161" t="s">
        <v>12</v>
      </c>
    </row>
    <row r="4" spans="1:13" ht="15" customHeight="1">
      <c r="A4" s="155"/>
      <c r="B4" s="157"/>
      <c r="C4" s="163" t="s">
        <v>25</v>
      </c>
      <c r="D4" s="17" t="s">
        <v>15</v>
      </c>
      <c r="E4" s="17" t="s">
        <v>16</v>
      </c>
      <c r="F4" s="17" t="s">
        <v>17</v>
      </c>
      <c r="G4" s="151" t="s">
        <v>1</v>
      </c>
      <c r="H4" s="149" t="s">
        <v>19</v>
      </c>
      <c r="I4" s="17" t="s">
        <v>15</v>
      </c>
      <c r="J4" s="18" t="s">
        <v>16</v>
      </c>
      <c r="K4" s="18" t="s">
        <v>17</v>
      </c>
      <c r="L4" s="151" t="s">
        <v>1</v>
      </c>
      <c r="M4" s="162"/>
    </row>
    <row r="5" spans="1:13" ht="15.75" thickBot="1">
      <c r="A5" s="155"/>
      <c r="B5" s="157"/>
      <c r="C5" s="164"/>
      <c r="D5" s="26">
        <v>285000</v>
      </c>
      <c r="E5" s="26">
        <v>145000</v>
      </c>
      <c r="F5" s="26">
        <v>95000</v>
      </c>
      <c r="G5" s="152"/>
      <c r="H5" s="150"/>
      <c r="I5" s="26">
        <v>80000</v>
      </c>
      <c r="J5" s="26">
        <v>57000</v>
      </c>
      <c r="K5" s="26">
        <v>38000</v>
      </c>
      <c r="L5" s="152"/>
      <c r="M5" s="162"/>
    </row>
    <row r="6" spans="1:13" ht="15.75" thickBot="1">
      <c r="A6" s="27">
        <v>1</v>
      </c>
      <c r="B6" s="28">
        <v>2</v>
      </c>
      <c r="C6" s="29">
        <v>3</v>
      </c>
      <c r="D6" s="30">
        <v>4</v>
      </c>
      <c r="E6" s="30">
        <v>5</v>
      </c>
      <c r="F6" s="30">
        <v>6</v>
      </c>
      <c r="G6" s="30">
        <v>7</v>
      </c>
      <c r="H6" s="28">
        <v>8</v>
      </c>
      <c r="I6" s="30">
        <v>9</v>
      </c>
      <c r="J6" s="30">
        <v>10</v>
      </c>
      <c r="K6" s="30">
        <v>11</v>
      </c>
      <c r="L6" s="30">
        <v>12</v>
      </c>
      <c r="M6" s="31">
        <v>13</v>
      </c>
    </row>
    <row r="7" spans="1:13" ht="15.75" thickBot="1">
      <c r="A7" s="32"/>
      <c r="B7" s="33" t="s">
        <v>28</v>
      </c>
      <c r="C7" s="33">
        <f>SUM(C8:C13)</f>
        <v>446</v>
      </c>
      <c r="D7" s="33">
        <f aca="true" t="shared" si="0" ref="D7:M7">SUM(D8:D13)</f>
        <v>16</v>
      </c>
      <c r="E7" s="33">
        <f t="shared" si="0"/>
        <v>86</v>
      </c>
      <c r="F7" s="33">
        <f>SUM(F8:F13)</f>
        <v>344</v>
      </c>
      <c r="G7" s="33">
        <f t="shared" si="0"/>
        <v>49710000</v>
      </c>
      <c r="H7" s="33">
        <f t="shared" si="0"/>
        <v>446</v>
      </c>
      <c r="I7" s="33">
        <f t="shared" si="0"/>
        <v>16</v>
      </c>
      <c r="J7" s="33">
        <f t="shared" si="0"/>
        <v>86</v>
      </c>
      <c r="K7" s="33">
        <f t="shared" si="0"/>
        <v>344</v>
      </c>
      <c r="L7" s="33">
        <f t="shared" si="0"/>
        <v>19254000</v>
      </c>
      <c r="M7" s="33">
        <f t="shared" si="0"/>
        <v>30456000</v>
      </c>
    </row>
    <row r="8" spans="1:13" ht="15">
      <c r="A8" s="19"/>
      <c r="B8" s="20" t="s">
        <v>21</v>
      </c>
      <c r="C8" s="21">
        <f aca="true" t="shared" si="1" ref="C8:C13">D8+E8+F8</f>
        <v>94</v>
      </c>
      <c r="D8" s="21">
        <v>1</v>
      </c>
      <c r="E8" s="21">
        <v>20</v>
      </c>
      <c r="F8" s="21">
        <v>73</v>
      </c>
      <c r="G8" s="22">
        <f aca="true" t="shared" si="2" ref="G8:G13">D8*285000+E8*145000+F8*95000</f>
        <v>10120000</v>
      </c>
      <c r="H8" s="21">
        <f aca="true" t="shared" si="3" ref="H8:H13">I8+J8+K8</f>
        <v>94</v>
      </c>
      <c r="I8" s="21">
        <f aca="true" t="shared" si="4" ref="I8:K13">D8</f>
        <v>1</v>
      </c>
      <c r="J8" s="21">
        <f t="shared" si="4"/>
        <v>20</v>
      </c>
      <c r="K8" s="21">
        <f t="shared" si="4"/>
        <v>73</v>
      </c>
      <c r="L8" s="22">
        <f aca="true" t="shared" si="5" ref="L8:L13">I8*80000+J8*57000+38000*K8</f>
        <v>3994000</v>
      </c>
      <c r="M8" s="23">
        <f aca="true" t="shared" si="6" ref="M8:M13">G8-L8</f>
        <v>6126000</v>
      </c>
    </row>
    <row r="9" spans="1:13" ht="15">
      <c r="A9" s="24"/>
      <c r="B9" s="20" t="s">
        <v>22</v>
      </c>
      <c r="C9" s="21">
        <f t="shared" si="1"/>
        <v>84</v>
      </c>
      <c r="D9" s="25">
        <v>2</v>
      </c>
      <c r="E9" s="25">
        <v>30</v>
      </c>
      <c r="F9" s="25">
        <v>52</v>
      </c>
      <c r="G9" s="22">
        <f t="shared" si="2"/>
        <v>9860000</v>
      </c>
      <c r="H9" s="21">
        <f t="shared" si="3"/>
        <v>84</v>
      </c>
      <c r="I9" s="21">
        <f t="shared" si="4"/>
        <v>2</v>
      </c>
      <c r="J9" s="21">
        <f t="shared" si="4"/>
        <v>30</v>
      </c>
      <c r="K9" s="21">
        <f t="shared" si="4"/>
        <v>52</v>
      </c>
      <c r="L9" s="22">
        <f t="shared" si="5"/>
        <v>3846000</v>
      </c>
      <c r="M9" s="23">
        <f t="shared" si="6"/>
        <v>6014000</v>
      </c>
    </row>
    <row r="10" spans="1:13" ht="15">
      <c r="A10" s="24"/>
      <c r="B10" s="20" t="s">
        <v>23</v>
      </c>
      <c r="C10" s="21">
        <f t="shared" si="1"/>
        <v>76</v>
      </c>
      <c r="D10" s="25">
        <v>2</v>
      </c>
      <c r="E10" s="25">
        <v>8</v>
      </c>
      <c r="F10" s="25">
        <v>66</v>
      </c>
      <c r="G10" s="22">
        <f t="shared" si="2"/>
        <v>8000000</v>
      </c>
      <c r="H10" s="21">
        <f t="shared" si="3"/>
        <v>76</v>
      </c>
      <c r="I10" s="21">
        <f t="shared" si="4"/>
        <v>2</v>
      </c>
      <c r="J10" s="21">
        <f t="shared" si="4"/>
        <v>8</v>
      </c>
      <c r="K10" s="21">
        <f t="shared" si="4"/>
        <v>66</v>
      </c>
      <c r="L10" s="22">
        <f t="shared" si="5"/>
        <v>3124000</v>
      </c>
      <c r="M10" s="23">
        <f t="shared" si="6"/>
        <v>4876000</v>
      </c>
    </row>
    <row r="11" spans="1:13" ht="15">
      <c r="A11" s="24"/>
      <c r="B11" s="20" t="s">
        <v>24</v>
      </c>
      <c r="C11" s="21">
        <f t="shared" si="1"/>
        <v>55</v>
      </c>
      <c r="D11" s="25">
        <v>2</v>
      </c>
      <c r="E11" s="25">
        <v>6</v>
      </c>
      <c r="F11" s="25">
        <v>47</v>
      </c>
      <c r="G11" s="22">
        <f t="shared" si="2"/>
        <v>5905000</v>
      </c>
      <c r="H11" s="21">
        <f t="shared" si="3"/>
        <v>55</v>
      </c>
      <c r="I11" s="21">
        <f t="shared" si="4"/>
        <v>2</v>
      </c>
      <c r="J11" s="21">
        <f t="shared" si="4"/>
        <v>6</v>
      </c>
      <c r="K11" s="21">
        <f t="shared" si="4"/>
        <v>47</v>
      </c>
      <c r="L11" s="22">
        <f t="shared" si="5"/>
        <v>2288000</v>
      </c>
      <c r="M11" s="23">
        <f t="shared" si="6"/>
        <v>3617000</v>
      </c>
    </row>
    <row r="12" spans="1:13" ht="15">
      <c r="A12" s="24"/>
      <c r="B12" s="20" t="s">
        <v>80</v>
      </c>
      <c r="C12" s="21">
        <f t="shared" si="1"/>
        <v>65</v>
      </c>
      <c r="D12" s="25">
        <v>6</v>
      </c>
      <c r="E12" s="25">
        <v>9</v>
      </c>
      <c r="F12" s="25">
        <v>50</v>
      </c>
      <c r="G12" s="22">
        <f t="shared" si="2"/>
        <v>7765000</v>
      </c>
      <c r="H12" s="21">
        <f t="shared" si="3"/>
        <v>65</v>
      </c>
      <c r="I12" s="21">
        <f t="shared" si="4"/>
        <v>6</v>
      </c>
      <c r="J12" s="21">
        <f t="shared" si="4"/>
        <v>9</v>
      </c>
      <c r="K12" s="21">
        <f t="shared" si="4"/>
        <v>50</v>
      </c>
      <c r="L12" s="22">
        <f t="shared" si="5"/>
        <v>2893000</v>
      </c>
      <c r="M12" s="23">
        <f t="shared" si="6"/>
        <v>4872000</v>
      </c>
    </row>
    <row r="13" spans="1:13" ht="15.75" thickBot="1">
      <c r="A13" s="24"/>
      <c r="B13" s="20" t="s">
        <v>81</v>
      </c>
      <c r="C13" s="21">
        <f t="shared" si="1"/>
        <v>72</v>
      </c>
      <c r="D13" s="25">
        <v>3</v>
      </c>
      <c r="E13" s="25">
        <v>13</v>
      </c>
      <c r="F13" s="25">
        <v>56</v>
      </c>
      <c r="G13" s="22">
        <f t="shared" si="2"/>
        <v>8060000</v>
      </c>
      <c r="H13" s="21">
        <f t="shared" si="3"/>
        <v>72</v>
      </c>
      <c r="I13" s="21">
        <f t="shared" si="4"/>
        <v>3</v>
      </c>
      <c r="J13" s="21">
        <f t="shared" si="4"/>
        <v>13</v>
      </c>
      <c r="K13" s="21">
        <f t="shared" si="4"/>
        <v>56</v>
      </c>
      <c r="L13" s="22">
        <f t="shared" si="5"/>
        <v>3109000</v>
      </c>
      <c r="M13" s="23">
        <f t="shared" si="6"/>
        <v>4951000</v>
      </c>
    </row>
    <row r="14" spans="1:14" ht="15.75" thickBot="1">
      <c r="A14" s="32"/>
      <c r="B14" s="33" t="s">
        <v>29</v>
      </c>
      <c r="C14" s="33">
        <f>SUM(C15:C19)</f>
        <v>28</v>
      </c>
      <c r="D14" s="33">
        <f aca="true" t="shared" si="7" ref="D14:M14">SUM(D15:D19)</f>
        <v>6</v>
      </c>
      <c r="E14" s="33">
        <f t="shared" si="7"/>
        <v>21</v>
      </c>
      <c r="F14" s="33">
        <f t="shared" si="7"/>
        <v>1</v>
      </c>
      <c r="G14" s="33">
        <f t="shared" si="7"/>
        <v>4850000</v>
      </c>
      <c r="H14" s="33">
        <f t="shared" si="7"/>
        <v>28</v>
      </c>
      <c r="I14" s="33">
        <f t="shared" si="7"/>
        <v>6</v>
      </c>
      <c r="J14" s="33">
        <f t="shared" si="7"/>
        <v>21</v>
      </c>
      <c r="K14" s="33">
        <f t="shared" si="7"/>
        <v>1</v>
      </c>
      <c r="L14" s="33">
        <f t="shared" si="7"/>
        <v>1715000</v>
      </c>
      <c r="M14" s="33">
        <f t="shared" si="7"/>
        <v>3135000</v>
      </c>
      <c r="N14" s="40"/>
    </row>
    <row r="15" spans="1:13" ht="15">
      <c r="A15" s="19"/>
      <c r="B15" s="20" t="s">
        <v>21</v>
      </c>
      <c r="C15" s="21">
        <f>D15+E15+F15</f>
        <v>9</v>
      </c>
      <c r="D15" s="21"/>
      <c r="E15" s="21">
        <v>9</v>
      </c>
      <c r="F15" s="21"/>
      <c r="G15" s="22">
        <f>D15*285000+E15*145000+F15*95000</f>
        <v>1305000</v>
      </c>
      <c r="H15" s="21">
        <f>I15+J15+K15</f>
        <v>9</v>
      </c>
      <c r="I15" s="21">
        <f aca="true" t="shared" si="8" ref="I15:K19">D15</f>
        <v>0</v>
      </c>
      <c r="J15" s="21">
        <f t="shared" si="8"/>
        <v>9</v>
      </c>
      <c r="K15" s="21">
        <f t="shared" si="8"/>
        <v>0</v>
      </c>
      <c r="L15" s="22">
        <f>I15*80000+J15*57000+38000*K15</f>
        <v>513000</v>
      </c>
      <c r="M15" s="23">
        <f>G15-L15</f>
        <v>792000</v>
      </c>
    </row>
    <row r="16" spans="1:13" ht="15">
      <c r="A16" s="24"/>
      <c r="B16" s="20" t="s">
        <v>77</v>
      </c>
      <c r="C16" s="21">
        <f>D16+E16+F16</f>
        <v>10</v>
      </c>
      <c r="D16" s="25">
        <v>6</v>
      </c>
      <c r="E16" s="25">
        <v>4</v>
      </c>
      <c r="F16" s="25"/>
      <c r="G16" s="22">
        <f>D16*285000+E16*145000+F16*95000</f>
        <v>2290000</v>
      </c>
      <c r="H16" s="21">
        <f>I16+J16+K16</f>
        <v>10</v>
      </c>
      <c r="I16" s="21">
        <f t="shared" si="8"/>
        <v>6</v>
      </c>
      <c r="J16" s="21">
        <f t="shared" si="8"/>
        <v>4</v>
      </c>
      <c r="K16" s="21">
        <f t="shared" si="8"/>
        <v>0</v>
      </c>
      <c r="L16" s="22">
        <f>I16*80000+J16*57000+38000*K16</f>
        <v>708000</v>
      </c>
      <c r="M16" s="23">
        <f>G16-L16</f>
        <v>1582000</v>
      </c>
    </row>
    <row r="17" spans="1:13" ht="15">
      <c r="A17" s="24"/>
      <c r="B17" s="20" t="s">
        <v>24</v>
      </c>
      <c r="C17" s="21">
        <f>D17+E17+F17</f>
        <v>2</v>
      </c>
      <c r="D17" s="25"/>
      <c r="E17" s="25">
        <v>2</v>
      </c>
      <c r="F17" s="25"/>
      <c r="G17" s="22">
        <f>D17*285000+E17*145000+F17*95000</f>
        <v>290000</v>
      </c>
      <c r="H17" s="21">
        <f>I17+J17+K17</f>
        <v>2</v>
      </c>
      <c r="I17" s="21">
        <f t="shared" si="8"/>
        <v>0</v>
      </c>
      <c r="J17" s="21">
        <f t="shared" si="8"/>
        <v>2</v>
      </c>
      <c r="K17" s="21">
        <f t="shared" si="8"/>
        <v>0</v>
      </c>
      <c r="L17" s="22">
        <f>I17*80000+J17*57000+38000*K17</f>
        <v>114000</v>
      </c>
      <c r="M17" s="23">
        <f>G17-L17</f>
        <v>176000</v>
      </c>
    </row>
    <row r="18" spans="1:13" ht="15">
      <c r="A18" s="24"/>
      <c r="B18" s="20" t="s">
        <v>80</v>
      </c>
      <c r="C18" s="21">
        <f>D18+E18+F18</f>
        <v>2</v>
      </c>
      <c r="D18" s="25"/>
      <c r="E18" s="25">
        <v>2</v>
      </c>
      <c r="F18" s="25"/>
      <c r="G18" s="22">
        <f>D18*285000+E18*145000+F18*95000</f>
        <v>290000</v>
      </c>
      <c r="H18" s="21">
        <f>I18+J18+K18</f>
        <v>2</v>
      </c>
      <c r="I18" s="21">
        <f t="shared" si="8"/>
        <v>0</v>
      </c>
      <c r="J18" s="21">
        <f t="shared" si="8"/>
        <v>2</v>
      </c>
      <c r="K18" s="21">
        <f t="shared" si="8"/>
        <v>0</v>
      </c>
      <c r="L18" s="22">
        <f>I18*80000+J18*57000+38000*K18</f>
        <v>114000</v>
      </c>
      <c r="M18" s="23">
        <f>G18-L18</f>
        <v>176000</v>
      </c>
    </row>
    <row r="19" spans="1:13" ht="15.75" thickBot="1">
      <c r="A19" s="24"/>
      <c r="B19" s="20" t="s">
        <v>81</v>
      </c>
      <c r="C19" s="21">
        <f>D19+E19+F19</f>
        <v>5</v>
      </c>
      <c r="D19" s="25"/>
      <c r="E19" s="25">
        <v>4</v>
      </c>
      <c r="F19" s="25">
        <v>1</v>
      </c>
      <c r="G19" s="22">
        <f>D19*285000+E19*145000+F19*95000</f>
        <v>675000</v>
      </c>
      <c r="H19" s="21">
        <f>I19+J19+K19</f>
        <v>5</v>
      </c>
      <c r="I19" s="21">
        <f t="shared" si="8"/>
        <v>0</v>
      </c>
      <c r="J19" s="21">
        <f t="shared" si="8"/>
        <v>4</v>
      </c>
      <c r="K19" s="21">
        <f t="shared" si="8"/>
        <v>1</v>
      </c>
      <c r="L19" s="22">
        <f>I19*80000+J19*57000+38000*K19</f>
        <v>266000</v>
      </c>
      <c r="M19" s="23">
        <f>G19-L19</f>
        <v>409000</v>
      </c>
    </row>
    <row r="20" spans="1:13" ht="15.75" thickBot="1">
      <c r="A20" s="32"/>
      <c r="B20" s="33" t="s">
        <v>20</v>
      </c>
      <c r="C20" s="33">
        <f>SUM(C21:C33)</f>
        <v>129</v>
      </c>
      <c r="D20" s="33">
        <f aca="true" t="shared" si="9" ref="D20:M20">SUM(D21:D33)</f>
        <v>0</v>
      </c>
      <c r="E20" s="33">
        <f t="shared" si="9"/>
        <v>7</v>
      </c>
      <c r="F20" s="33">
        <f>SUM(F21:F33)</f>
        <v>140</v>
      </c>
      <c r="G20" s="33">
        <f t="shared" si="9"/>
        <v>14315000</v>
      </c>
      <c r="H20" s="33">
        <f t="shared" si="9"/>
        <v>143</v>
      </c>
      <c r="I20" s="33">
        <f t="shared" si="9"/>
        <v>0</v>
      </c>
      <c r="J20" s="33">
        <f t="shared" si="9"/>
        <v>7</v>
      </c>
      <c r="K20" s="33">
        <f t="shared" si="9"/>
        <v>140</v>
      </c>
      <c r="L20" s="33">
        <f t="shared" si="9"/>
        <v>5719000</v>
      </c>
      <c r="M20" s="33">
        <f t="shared" si="9"/>
        <v>8596000</v>
      </c>
    </row>
    <row r="21" spans="1:13" ht="15">
      <c r="A21" s="19"/>
      <c r="B21" s="20" t="s">
        <v>21</v>
      </c>
      <c r="C21" s="21">
        <f>D21+E21+F21</f>
        <v>31</v>
      </c>
      <c r="D21" s="21"/>
      <c r="E21" s="21">
        <v>1</v>
      </c>
      <c r="F21" s="21">
        <v>30</v>
      </c>
      <c r="G21" s="22">
        <f aca="true" t="shared" si="10" ref="G21:G26">D21*285000+E21*145000+F21*95000</f>
        <v>2995000</v>
      </c>
      <c r="H21" s="21">
        <f>I21+J21+K21</f>
        <v>31</v>
      </c>
      <c r="I21" s="21"/>
      <c r="J21" s="21">
        <v>1</v>
      </c>
      <c r="K21" s="21">
        <f>F21</f>
        <v>30</v>
      </c>
      <c r="L21" s="22">
        <f>I21*80000+J21*57000+38000*K21</f>
        <v>1197000</v>
      </c>
      <c r="M21" s="23">
        <f>G21-L21</f>
        <v>1798000</v>
      </c>
    </row>
    <row r="22" spans="1:13" ht="15">
      <c r="A22" s="24"/>
      <c r="B22" s="20"/>
      <c r="C22" s="21">
        <f aca="true" t="shared" si="11" ref="C22:C33">D22+E22+F22</f>
        <v>5</v>
      </c>
      <c r="D22" s="25"/>
      <c r="E22" s="25"/>
      <c r="F22" s="25">
        <v>5</v>
      </c>
      <c r="G22" s="22">
        <f t="shared" si="10"/>
        <v>475000</v>
      </c>
      <c r="H22" s="21">
        <f aca="true" t="shared" si="12" ref="H22:H33">I22+J22+K22</f>
        <v>5</v>
      </c>
      <c r="I22" s="21">
        <f aca="true" t="shared" si="13" ref="I22:I33">D22</f>
        <v>0</v>
      </c>
      <c r="J22" s="21">
        <f aca="true" t="shared" si="14" ref="J22:J33">E22</f>
        <v>0</v>
      </c>
      <c r="K22" s="21">
        <f aca="true" t="shared" si="15" ref="K22:K33">F22</f>
        <v>5</v>
      </c>
      <c r="L22" s="22">
        <f>I22*80000+J22*57000+38000*K22</f>
        <v>190000</v>
      </c>
      <c r="M22" s="23">
        <f aca="true" t="shared" si="16" ref="M22:M33">G22-L22</f>
        <v>285000</v>
      </c>
    </row>
    <row r="23" spans="1:13" ht="15">
      <c r="A23" s="24"/>
      <c r="B23" s="20" t="s">
        <v>22</v>
      </c>
      <c r="C23" s="21">
        <f t="shared" si="11"/>
        <v>6</v>
      </c>
      <c r="D23" s="25"/>
      <c r="E23" s="25"/>
      <c r="F23" s="25">
        <v>6</v>
      </c>
      <c r="G23" s="22">
        <f t="shared" si="10"/>
        <v>570000</v>
      </c>
      <c r="H23" s="21">
        <f t="shared" si="12"/>
        <v>6</v>
      </c>
      <c r="I23" s="21">
        <f t="shared" si="13"/>
        <v>0</v>
      </c>
      <c r="J23" s="21">
        <f t="shared" si="14"/>
        <v>0</v>
      </c>
      <c r="K23" s="21">
        <f t="shared" si="15"/>
        <v>6</v>
      </c>
      <c r="L23" s="22">
        <f>I23*80000+J23*57000+38000*K23</f>
        <v>228000</v>
      </c>
      <c r="M23" s="23">
        <f t="shared" si="16"/>
        <v>342000</v>
      </c>
    </row>
    <row r="24" spans="1:13" ht="15">
      <c r="A24" s="24"/>
      <c r="B24" s="20"/>
      <c r="C24" s="21"/>
      <c r="D24" s="25"/>
      <c r="E24" s="25">
        <v>1</v>
      </c>
      <c r="F24" s="25">
        <v>17</v>
      </c>
      <c r="G24" s="22">
        <f t="shared" si="10"/>
        <v>1760000</v>
      </c>
      <c r="H24" s="21">
        <f t="shared" si="12"/>
        <v>18</v>
      </c>
      <c r="I24" s="21"/>
      <c r="J24" s="21">
        <f t="shared" si="14"/>
        <v>1</v>
      </c>
      <c r="K24" s="21">
        <f t="shared" si="15"/>
        <v>17</v>
      </c>
      <c r="L24" s="22">
        <f>I24*80000+J24*57000+38000*K24</f>
        <v>703000</v>
      </c>
      <c r="M24" s="23">
        <f t="shared" si="16"/>
        <v>1057000</v>
      </c>
    </row>
    <row r="25" spans="1:13" ht="15">
      <c r="A25" s="24"/>
      <c r="B25" s="20" t="s">
        <v>23</v>
      </c>
      <c r="C25" s="21">
        <f t="shared" si="11"/>
        <v>4</v>
      </c>
      <c r="D25" s="25"/>
      <c r="E25" s="25"/>
      <c r="F25" s="25">
        <v>4</v>
      </c>
      <c r="G25" s="22">
        <f t="shared" si="10"/>
        <v>380000</v>
      </c>
      <c r="H25" s="21">
        <f t="shared" si="12"/>
        <v>4</v>
      </c>
      <c r="I25" s="21">
        <f t="shared" si="13"/>
        <v>0</v>
      </c>
      <c r="J25" s="21">
        <f t="shared" si="14"/>
        <v>0</v>
      </c>
      <c r="K25" s="21">
        <f t="shared" si="15"/>
        <v>4</v>
      </c>
      <c r="L25" s="22">
        <f aca="true" t="shared" si="17" ref="L25:L33">I25*80000+J25*57000+38000*K25</f>
        <v>152000</v>
      </c>
      <c r="M25" s="23">
        <f t="shared" si="16"/>
        <v>228000</v>
      </c>
    </row>
    <row r="26" spans="1:13" ht="15">
      <c r="A26" s="24"/>
      <c r="B26" s="20"/>
      <c r="C26" s="21">
        <f t="shared" si="11"/>
        <v>16</v>
      </c>
      <c r="D26" s="25"/>
      <c r="E26" s="25">
        <v>1</v>
      </c>
      <c r="F26" s="25">
        <v>15</v>
      </c>
      <c r="G26" s="22">
        <f t="shared" si="10"/>
        <v>1570000</v>
      </c>
      <c r="H26" s="21">
        <f t="shared" si="12"/>
        <v>16</v>
      </c>
      <c r="I26" s="21">
        <f t="shared" si="13"/>
        <v>0</v>
      </c>
      <c r="J26" s="21">
        <f t="shared" si="14"/>
        <v>1</v>
      </c>
      <c r="K26" s="21">
        <f t="shared" si="15"/>
        <v>15</v>
      </c>
      <c r="L26" s="22">
        <f t="shared" si="17"/>
        <v>627000</v>
      </c>
      <c r="M26" s="23">
        <f t="shared" si="16"/>
        <v>943000</v>
      </c>
    </row>
    <row r="27" spans="1:13" ht="15">
      <c r="A27" s="24"/>
      <c r="B27" s="20" t="s">
        <v>24</v>
      </c>
      <c r="C27" s="21">
        <f t="shared" si="11"/>
        <v>2</v>
      </c>
      <c r="D27" s="25"/>
      <c r="E27" s="25"/>
      <c r="F27" s="25">
        <v>2</v>
      </c>
      <c r="G27" s="22">
        <f aca="true" t="shared" si="18" ref="G27:G33">D27*285000+E27*145000+F27*95000</f>
        <v>190000</v>
      </c>
      <c r="H27" s="21">
        <f t="shared" si="12"/>
        <v>2</v>
      </c>
      <c r="I27" s="21">
        <f t="shared" si="13"/>
        <v>0</v>
      </c>
      <c r="J27" s="21">
        <f t="shared" si="14"/>
        <v>0</v>
      </c>
      <c r="K27" s="21">
        <f t="shared" si="15"/>
        <v>2</v>
      </c>
      <c r="L27" s="22">
        <f t="shared" si="17"/>
        <v>76000</v>
      </c>
      <c r="M27" s="23">
        <f t="shared" si="16"/>
        <v>114000</v>
      </c>
    </row>
    <row r="28" spans="1:13" ht="15">
      <c r="A28" s="24"/>
      <c r="B28" s="20"/>
      <c r="C28" s="21">
        <f t="shared" si="11"/>
        <v>12</v>
      </c>
      <c r="D28" s="25"/>
      <c r="E28" s="25"/>
      <c r="F28" s="25">
        <v>12</v>
      </c>
      <c r="G28" s="22">
        <f t="shared" si="18"/>
        <v>1140000</v>
      </c>
      <c r="H28" s="21">
        <f t="shared" si="12"/>
        <v>12</v>
      </c>
      <c r="I28" s="21">
        <f t="shared" si="13"/>
        <v>0</v>
      </c>
      <c r="J28" s="21">
        <f t="shared" si="14"/>
        <v>0</v>
      </c>
      <c r="K28" s="21">
        <f t="shared" si="15"/>
        <v>12</v>
      </c>
      <c r="L28" s="22">
        <f t="shared" si="17"/>
        <v>456000</v>
      </c>
      <c r="M28" s="23">
        <f t="shared" si="16"/>
        <v>684000</v>
      </c>
    </row>
    <row r="29" spans="1:13" ht="15">
      <c r="A29" s="24"/>
      <c r="B29" s="20" t="s">
        <v>80</v>
      </c>
      <c r="C29" s="21">
        <f t="shared" si="11"/>
        <v>21</v>
      </c>
      <c r="D29" s="25"/>
      <c r="E29" s="25"/>
      <c r="F29" s="25">
        <v>21</v>
      </c>
      <c r="G29" s="22">
        <f t="shared" si="18"/>
        <v>1995000</v>
      </c>
      <c r="H29" s="21">
        <f t="shared" si="12"/>
        <v>21</v>
      </c>
      <c r="I29" s="21">
        <f t="shared" si="13"/>
        <v>0</v>
      </c>
      <c r="J29" s="21">
        <f t="shared" si="14"/>
        <v>0</v>
      </c>
      <c r="K29" s="21">
        <f t="shared" si="15"/>
        <v>21</v>
      </c>
      <c r="L29" s="22">
        <f t="shared" si="17"/>
        <v>798000</v>
      </c>
      <c r="M29" s="23">
        <f t="shared" si="16"/>
        <v>1197000</v>
      </c>
    </row>
    <row r="30" spans="1:13" ht="15">
      <c r="A30" s="24"/>
      <c r="B30" s="20"/>
      <c r="C30" s="21">
        <f t="shared" si="11"/>
        <v>2</v>
      </c>
      <c r="D30" s="25"/>
      <c r="E30" s="25"/>
      <c r="F30" s="25">
        <v>2</v>
      </c>
      <c r="G30" s="22">
        <f t="shared" si="18"/>
        <v>190000</v>
      </c>
      <c r="H30" s="21">
        <f t="shared" si="12"/>
        <v>2</v>
      </c>
      <c r="I30" s="21">
        <f t="shared" si="13"/>
        <v>0</v>
      </c>
      <c r="J30" s="21">
        <f t="shared" si="14"/>
        <v>0</v>
      </c>
      <c r="K30" s="21">
        <f t="shared" si="15"/>
        <v>2</v>
      </c>
      <c r="L30" s="22">
        <f t="shared" si="17"/>
        <v>76000</v>
      </c>
      <c r="M30" s="23">
        <f>G30-L30</f>
        <v>114000</v>
      </c>
    </row>
    <row r="31" spans="1:13" ht="15">
      <c r="A31" s="24"/>
      <c r="B31" s="20" t="s">
        <v>81</v>
      </c>
      <c r="C31" s="21">
        <f t="shared" si="11"/>
        <v>23</v>
      </c>
      <c r="D31" s="25"/>
      <c r="E31" s="25"/>
      <c r="F31" s="25">
        <v>23</v>
      </c>
      <c r="G31" s="22">
        <f t="shared" si="18"/>
        <v>2185000</v>
      </c>
      <c r="H31" s="21">
        <f t="shared" si="12"/>
        <v>23</v>
      </c>
      <c r="I31" s="21">
        <f t="shared" si="13"/>
        <v>0</v>
      </c>
      <c r="J31" s="21">
        <f t="shared" si="14"/>
        <v>0</v>
      </c>
      <c r="K31" s="21">
        <f t="shared" si="15"/>
        <v>23</v>
      </c>
      <c r="L31" s="22">
        <f t="shared" si="17"/>
        <v>874000</v>
      </c>
      <c r="M31" s="23">
        <f t="shared" si="16"/>
        <v>1311000</v>
      </c>
    </row>
    <row r="32" spans="1:13" ht="15">
      <c r="A32" s="24"/>
      <c r="B32" s="20"/>
      <c r="C32" s="21">
        <f t="shared" si="11"/>
        <v>4</v>
      </c>
      <c r="D32" s="25"/>
      <c r="E32" s="25">
        <v>4</v>
      </c>
      <c r="F32" s="25"/>
      <c r="G32" s="22">
        <f t="shared" si="18"/>
        <v>580000</v>
      </c>
      <c r="H32" s="21"/>
      <c r="I32" s="21"/>
      <c r="J32" s="21">
        <f t="shared" si="14"/>
        <v>4</v>
      </c>
      <c r="K32" s="21"/>
      <c r="L32" s="22">
        <f t="shared" si="17"/>
        <v>228000</v>
      </c>
      <c r="M32" s="23">
        <f t="shared" si="16"/>
        <v>352000</v>
      </c>
    </row>
    <row r="33" spans="1:13" ht="15.75" thickBot="1">
      <c r="A33" s="24"/>
      <c r="B33" s="20"/>
      <c r="C33" s="21">
        <f t="shared" si="11"/>
        <v>3</v>
      </c>
      <c r="D33" s="25"/>
      <c r="E33" s="25"/>
      <c r="F33" s="25">
        <v>3</v>
      </c>
      <c r="G33" s="22">
        <f t="shared" si="18"/>
        <v>285000</v>
      </c>
      <c r="H33" s="21">
        <f t="shared" si="12"/>
        <v>3</v>
      </c>
      <c r="I33" s="21">
        <f t="shared" si="13"/>
        <v>0</v>
      </c>
      <c r="J33" s="21">
        <f t="shared" si="14"/>
        <v>0</v>
      </c>
      <c r="K33" s="21">
        <f t="shared" si="15"/>
        <v>3</v>
      </c>
      <c r="L33" s="22">
        <f t="shared" si="17"/>
        <v>114000</v>
      </c>
      <c r="M33" s="23">
        <f t="shared" si="16"/>
        <v>171000</v>
      </c>
    </row>
    <row r="34" spans="1:13" ht="15.75" thickBot="1">
      <c r="A34" s="34" t="s">
        <v>2</v>
      </c>
      <c r="B34" s="35"/>
      <c r="C34" s="36">
        <f>C20+C7+C14</f>
        <v>603</v>
      </c>
      <c r="D34" s="36">
        <f aca="true" t="shared" si="19" ref="D34:M34">D20+D7+D14</f>
        <v>22</v>
      </c>
      <c r="E34" s="36">
        <f t="shared" si="19"/>
        <v>114</v>
      </c>
      <c r="F34" s="36">
        <f>F20+F7+F14</f>
        <v>485</v>
      </c>
      <c r="G34" s="36">
        <f t="shared" si="19"/>
        <v>68875000</v>
      </c>
      <c r="H34" s="36">
        <f t="shared" si="19"/>
        <v>617</v>
      </c>
      <c r="I34" s="36">
        <f t="shared" si="19"/>
        <v>22</v>
      </c>
      <c r="J34" s="36">
        <f t="shared" si="19"/>
        <v>114</v>
      </c>
      <c r="K34" s="36">
        <f t="shared" si="19"/>
        <v>485</v>
      </c>
      <c r="L34" s="36">
        <f t="shared" si="19"/>
        <v>26688000</v>
      </c>
      <c r="M34" s="36">
        <f t="shared" si="19"/>
        <v>42187000</v>
      </c>
    </row>
    <row r="35" ht="15.75" thickTop="1"/>
    <row r="37" spans="12:13" ht="15">
      <c r="L37" s="40"/>
      <c r="M37" s="40"/>
    </row>
    <row r="38" ht="15">
      <c r="L38" s="40"/>
    </row>
    <row r="39" ht="15">
      <c r="L39" s="40"/>
    </row>
  </sheetData>
  <sheetProtection/>
  <mergeCells count="10">
    <mergeCell ref="H4:H5"/>
    <mergeCell ref="L4:L5"/>
    <mergeCell ref="A1:M1"/>
    <mergeCell ref="A3:A5"/>
    <mergeCell ref="B3:B5"/>
    <mergeCell ref="C3:G3"/>
    <mergeCell ref="H3:L3"/>
    <mergeCell ref="M3:M5"/>
    <mergeCell ref="C4:C5"/>
    <mergeCell ref="G4:G5"/>
  </mergeCells>
  <printOptions/>
  <pageMargins left="0.24" right="0.17" top="0.75" bottom="0.75" header="0.3" footer="0.3"/>
  <pageSetup horizontalDpi="200" verticalDpi="2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"/>
  <sheetViews>
    <sheetView zoomScalePageLayoutView="0" workbookViewId="0" topLeftCell="B1">
      <selection activeCell="G11" sqref="G11"/>
    </sheetView>
  </sheetViews>
  <sheetFormatPr defaultColWidth="9.140625" defaultRowHeight="15"/>
  <cols>
    <col min="1" max="1" width="26.57421875" style="0" customWidth="1"/>
    <col min="2" max="2" width="13.421875" style="0" customWidth="1"/>
    <col min="3" max="3" width="13.28125" style="0" customWidth="1"/>
    <col min="4" max="4" width="14.421875" style="0" customWidth="1"/>
    <col min="5" max="5" width="16.7109375" style="0" customWidth="1"/>
    <col min="6" max="7" width="9.140625" style="97" customWidth="1"/>
    <col min="8" max="8" width="10.57421875" style="97" bestFit="1" customWidth="1"/>
    <col min="9" max="11" width="9.140625" style="97" customWidth="1"/>
  </cols>
  <sheetData>
    <row r="1" spans="1:5" ht="16.5" thickBot="1">
      <c r="A1" s="2" t="s">
        <v>11</v>
      </c>
      <c r="B1" s="3"/>
      <c r="C1" s="3"/>
      <c r="D1" s="3"/>
      <c r="E1" s="3"/>
    </row>
    <row r="2" spans="1:11" ht="45" thickBot="1" thickTop="1">
      <c r="A2" s="146" t="s">
        <v>7</v>
      </c>
      <c r="B2" s="4" t="s">
        <v>4</v>
      </c>
      <c r="C2" s="4" t="s">
        <v>5</v>
      </c>
      <c r="D2" s="4" t="s">
        <v>6</v>
      </c>
      <c r="E2" s="144" t="s">
        <v>3</v>
      </c>
      <c r="F2" s="98" t="s">
        <v>83</v>
      </c>
      <c r="G2" s="99" t="s">
        <v>82</v>
      </c>
      <c r="H2" s="99" t="s">
        <v>83</v>
      </c>
      <c r="I2" s="99" t="s">
        <v>84</v>
      </c>
      <c r="J2" s="99" t="s">
        <v>83</v>
      </c>
      <c r="K2" s="100" t="s">
        <v>85</v>
      </c>
    </row>
    <row r="3" spans="1:11" ht="16.5" thickBot="1">
      <c r="A3" s="147"/>
      <c r="B3" s="15">
        <f>125000*0.3</f>
        <v>37500</v>
      </c>
      <c r="C3" s="15">
        <f>65000*0.3</f>
        <v>19500</v>
      </c>
      <c r="D3" s="15">
        <f>50000*0.3</f>
        <v>15000</v>
      </c>
      <c r="E3" s="145"/>
      <c r="F3" s="102">
        <v>11600</v>
      </c>
      <c r="G3" s="102">
        <f>B3-F3</f>
        <v>25900</v>
      </c>
      <c r="H3" s="102">
        <v>8300</v>
      </c>
      <c r="I3" s="102">
        <f>C3-H3</f>
        <v>11200</v>
      </c>
      <c r="J3" s="103">
        <v>6600</v>
      </c>
      <c r="K3" s="104">
        <f>D3-J3</f>
        <v>8400</v>
      </c>
    </row>
    <row r="4" spans="1:11" ht="15.75">
      <c r="A4" s="147"/>
      <c r="B4" s="6"/>
      <c r="C4" s="6"/>
      <c r="D4" s="6"/>
      <c r="E4" s="7"/>
      <c r="F4" s="165"/>
      <c r="G4" s="166"/>
      <c r="H4" s="166"/>
      <c r="I4" s="166"/>
      <c r="J4" s="166"/>
      <c r="K4" s="167"/>
    </row>
    <row r="5" spans="1:11" ht="16.5" thickBot="1">
      <c r="A5" s="148"/>
      <c r="B5" s="8">
        <f>B4*125000*0.3</f>
        <v>0</v>
      </c>
      <c r="C5" s="8">
        <f>C4*65000*0.3</f>
        <v>0</v>
      </c>
      <c r="D5" s="8">
        <f>D4*50000*0.3</f>
        <v>0</v>
      </c>
      <c r="E5" s="9">
        <f>B5+C5+D5</f>
        <v>0</v>
      </c>
      <c r="F5" s="168"/>
      <c r="G5" s="169"/>
      <c r="H5" s="169"/>
      <c r="I5" s="169"/>
      <c r="J5" s="169"/>
      <c r="K5" s="170"/>
    </row>
    <row r="6" spans="1:11" ht="17.25" thickBot="1" thickTop="1">
      <c r="A6" s="146" t="s">
        <v>9</v>
      </c>
      <c r="B6" s="4" t="s">
        <v>4</v>
      </c>
      <c r="C6" s="4" t="s">
        <v>5</v>
      </c>
      <c r="D6" s="4" t="s">
        <v>6</v>
      </c>
      <c r="E6" s="144" t="s">
        <v>3</v>
      </c>
      <c r="F6" s="171"/>
      <c r="G6" s="172"/>
      <c r="H6" s="172"/>
      <c r="I6" s="172"/>
      <c r="J6" s="172"/>
      <c r="K6" s="173"/>
    </row>
    <row r="7" spans="1:11" ht="16.5" thickBot="1">
      <c r="A7" s="147"/>
      <c r="B7" s="15">
        <f>90000*0.3</f>
        <v>27000</v>
      </c>
      <c r="C7" s="15">
        <f>50000*0.3</f>
        <v>15000</v>
      </c>
      <c r="D7" s="15">
        <f>30000*0.3</f>
        <v>9000</v>
      </c>
      <c r="E7" s="145"/>
      <c r="F7" s="101">
        <v>8300</v>
      </c>
      <c r="G7" s="102">
        <f>B7-F7</f>
        <v>18700</v>
      </c>
      <c r="H7" s="102">
        <v>6700</v>
      </c>
      <c r="I7" s="102">
        <f>C7-H7</f>
        <v>8300</v>
      </c>
      <c r="J7" s="103">
        <v>4000</v>
      </c>
      <c r="K7" s="104">
        <f>D7-J7</f>
        <v>5000</v>
      </c>
    </row>
    <row r="8" spans="1:11" ht="15.75">
      <c r="A8" s="147"/>
      <c r="B8" s="6"/>
      <c r="C8" s="6"/>
      <c r="D8" s="6"/>
      <c r="E8" s="7"/>
      <c r="F8" s="174"/>
      <c r="G8" s="175"/>
      <c r="H8" s="175"/>
      <c r="I8" s="175"/>
      <c r="J8" s="175"/>
      <c r="K8" s="176"/>
    </row>
    <row r="9" spans="1:11" ht="16.5" thickBot="1">
      <c r="A9" s="148"/>
      <c r="B9" s="8">
        <f>B8*0.3*90000</f>
        <v>0</v>
      </c>
      <c r="C9" s="8">
        <f>C8*0.3*50000</f>
        <v>0</v>
      </c>
      <c r="D9" s="8">
        <f>D8*0.3*30000</f>
        <v>0</v>
      </c>
      <c r="E9" s="9">
        <f>B9+C9+D9</f>
        <v>0</v>
      </c>
      <c r="F9" s="177"/>
      <c r="G9" s="178"/>
      <c r="H9" s="178"/>
      <c r="I9" s="178"/>
      <c r="J9" s="178"/>
      <c r="K9" s="179"/>
    </row>
    <row r="10" spans="1:11" ht="17.25" thickBot="1" thickTop="1">
      <c r="A10" s="146" t="s">
        <v>10</v>
      </c>
      <c r="B10" s="4" t="s">
        <v>4</v>
      </c>
      <c r="C10" s="4" t="s">
        <v>5</v>
      </c>
      <c r="D10" s="4" t="s">
        <v>6</v>
      </c>
      <c r="E10" s="144" t="s">
        <v>3</v>
      </c>
      <c r="F10" s="180"/>
      <c r="G10" s="181"/>
      <c r="H10" s="181"/>
      <c r="I10" s="181"/>
      <c r="J10" s="181"/>
      <c r="K10" s="182"/>
    </row>
    <row r="11" spans="1:11" ht="16.5" thickBot="1">
      <c r="A11" s="147"/>
      <c r="B11" s="15">
        <f>70000*0.3</f>
        <v>21000</v>
      </c>
      <c r="C11" s="15">
        <f>30000*0.3</f>
        <v>9000</v>
      </c>
      <c r="D11" s="15">
        <f>15000*0.3</f>
        <v>4500</v>
      </c>
      <c r="E11" s="145"/>
      <c r="F11" s="106">
        <v>6700</v>
      </c>
      <c r="G11" s="102">
        <f>B11-F11</f>
        <v>14300</v>
      </c>
      <c r="H11" s="102">
        <v>4000</v>
      </c>
      <c r="I11" s="102">
        <f>C11-H11</f>
        <v>5000</v>
      </c>
      <c r="J11" s="102">
        <v>2000</v>
      </c>
      <c r="K11" s="104">
        <f>D11-J11</f>
        <v>2500</v>
      </c>
    </row>
    <row r="12" spans="1:11" ht="15.75">
      <c r="A12" s="147"/>
      <c r="B12" s="6"/>
      <c r="C12" s="6"/>
      <c r="D12" s="6"/>
      <c r="E12" s="7"/>
      <c r="F12" s="174"/>
      <c r="G12" s="175"/>
      <c r="H12" s="175"/>
      <c r="I12" s="175"/>
      <c r="J12" s="175"/>
      <c r="K12" s="176"/>
    </row>
    <row r="13" spans="1:11" ht="16.5" thickBot="1">
      <c r="A13" s="147"/>
      <c r="B13" s="10">
        <f>B12*70000*0.3</f>
        <v>0</v>
      </c>
      <c r="C13" s="10">
        <f>0.3*30000*C12</f>
        <v>0</v>
      </c>
      <c r="D13" s="10">
        <f>15000*0.3*D12</f>
        <v>0</v>
      </c>
      <c r="E13" s="11">
        <f>B13+C13+D13</f>
        <v>0</v>
      </c>
      <c r="F13" s="180"/>
      <c r="G13" s="181"/>
      <c r="H13" s="181"/>
      <c r="I13" s="181"/>
      <c r="J13" s="181"/>
      <c r="K13" s="182"/>
    </row>
    <row r="14" spans="1:11" ht="16.5" thickBot="1">
      <c r="A14" s="12" t="s">
        <v>3</v>
      </c>
      <c r="B14" s="13">
        <f>B11+B7+B3</f>
        <v>85500</v>
      </c>
      <c r="C14" s="13">
        <f>C11+C7+C3</f>
        <v>43500</v>
      </c>
      <c r="D14" s="13">
        <f>D11+D7+D3</f>
        <v>28500</v>
      </c>
      <c r="E14" s="14">
        <f>E13+E9+E5</f>
        <v>0</v>
      </c>
      <c r="F14" s="107">
        <f aca="true" t="shared" si="0" ref="F14:K14">F3+F7+F11</f>
        <v>26600</v>
      </c>
      <c r="G14" s="108">
        <f t="shared" si="0"/>
        <v>58900</v>
      </c>
      <c r="H14" s="109">
        <f t="shared" si="0"/>
        <v>19000</v>
      </c>
      <c r="I14" s="108">
        <f t="shared" si="0"/>
        <v>24500</v>
      </c>
      <c r="J14" s="109">
        <f t="shared" si="0"/>
        <v>12600</v>
      </c>
      <c r="K14" s="110">
        <f t="shared" si="0"/>
        <v>15900</v>
      </c>
    </row>
    <row r="15" ht="15.75" thickTop="1"/>
    <row r="16" spans="2:4" ht="15">
      <c r="B16" s="16"/>
      <c r="C16" s="16"/>
      <c r="D16" s="16"/>
    </row>
    <row r="18" spans="2:8" ht="15">
      <c r="B18" s="44"/>
      <c r="H18" s="105"/>
    </row>
  </sheetData>
  <sheetProtection/>
  <mergeCells count="9">
    <mergeCell ref="F4:K6"/>
    <mergeCell ref="F8:K10"/>
    <mergeCell ref="F12:K13"/>
    <mergeCell ref="A2:A5"/>
    <mergeCell ref="E2:E3"/>
    <mergeCell ref="A6:A9"/>
    <mergeCell ref="E6:E7"/>
    <mergeCell ref="A10:A13"/>
    <mergeCell ref="E10:E1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49"/>
  <sheetViews>
    <sheetView zoomScalePageLayoutView="0" workbookViewId="0" topLeftCell="A31">
      <selection activeCell="F50" sqref="F50"/>
    </sheetView>
  </sheetViews>
  <sheetFormatPr defaultColWidth="9.140625" defaultRowHeight="15"/>
  <cols>
    <col min="1" max="1" width="6.421875" style="0" customWidth="1"/>
    <col min="2" max="2" width="15.57421875" style="0" customWidth="1"/>
    <col min="3" max="3" width="9.7109375" style="0" customWidth="1"/>
    <col min="4" max="4" width="10.57421875" style="0" customWidth="1"/>
    <col min="5" max="5" width="8.140625" style="0" customWidth="1"/>
    <col min="6" max="6" width="8.421875" style="0" customWidth="1"/>
    <col min="7" max="7" width="13.57421875" style="0" customWidth="1"/>
    <col min="8" max="8" width="7.421875" style="0" customWidth="1"/>
    <col min="9" max="10" width="9.140625" style="0" customWidth="1"/>
    <col min="11" max="11" width="8.8515625" style="0" customWidth="1"/>
    <col min="12" max="12" width="15.140625" style="0" customWidth="1"/>
    <col min="13" max="13" width="12.57421875" style="0" customWidth="1"/>
    <col min="14" max="14" width="11.57421875" style="41" bestFit="1" customWidth="1"/>
    <col min="15" max="15" width="11.57421875" style="0" bestFit="1" customWidth="1"/>
  </cols>
  <sheetData>
    <row r="1" spans="1:13" ht="18.75">
      <c r="A1" s="153" t="s">
        <v>79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4:9" ht="15.75" thickBot="1">
      <c r="D2" s="1">
        <f>D5-I5</f>
        <v>58900</v>
      </c>
      <c r="E2" s="1">
        <f>E5-J5</f>
        <v>24500</v>
      </c>
      <c r="F2" s="1">
        <f>F5-K5</f>
        <v>15900</v>
      </c>
      <c r="I2" s="1"/>
    </row>
    <row r="3" spans="1:13" ht="15.75" thickTop="1">
      <c r="A3" s="186" t="s">
        <v>0</v>
      </c>
      <c r="B3" s="194" t="s">
        <v>18</v>
      </c>
      <c r="C3" s="158" t="s">
        <v>13</v>
      </c>
      <c r="D3" s="159"/>
      <c r="E3" s="159"/>
      <c r="F3" s="159"/>
      <c r="G3" s="160"/>
      <c r="H3" s="158" t="s">
        <v>14</v>
      </c>
      <c r="I3" s="159"/>
      <c r="J3" s="159"/>
      <c r="K3" s="159"/>
      <c r="L3" s="160"/>
      <c r="M3" s="161" t="s">
        <v>12</v>
      </c>
    </row>
    <row r="4" spans="1:13" ht="15">
      <c r="A4" s="187"/>
      <c r="B4" s="150"/>
      <c r="C4" s="184" t="s">
        <v>27</v>
      </c>
      <c r="D4" s="17" t="s">
        <v>15</v>
      </c>
      <c r="E4" s="17" t="s">
        <v>16</v>
      </c>
      <c r="F4" s="17" t="s">
        <v>17</v>
      </c>
      <c r="G4" s="191" t="s">
        <v>1</v>
      </c>
      <c r="H4" s="149" t="s">
        <v>19</v>
      </c>
      <c r="I4" s="17" t="s">
        <v>15</v>
      </c>
      <c r="J4" s="18" t="s">
        <v>16</v>
      </c>
      <c r="K4" s="18" t="s">
        <v>17</v>
      </c>
      <c r="L4" s="189" t="s">
        <v>1</v>
      </c>
      <c r="M4" s="162"/>
    </row>
    <row r="5" spans="1:13" ht="15.75" thickBot="1">
      <c r="A5" s="188"/>
      <c r="B5" s="193"/>
      <c r="C5" s="185"/>
      <c r="D5" s="18">
        <v>85500</v>
      </c>
      <c r="E5" s="18">
        <v>43500</v>
      </c>
      <c r="F5" s="18">
        <v>28500</v>
      </c>
      <c r="G5" s="192"/>
      <c r="H5" s="193"/>
      <c r="I5" s="18">
        <v>26600</v>
      </c>
      <c r="J5" s="18">
        <v>19000</v>
      </c>
      <c r="K5" s="18">
        <v>12600</v>
      </c>
      <c r="L5" s="190"/>
      <c r="M5" s="183"/>
    </row>
    <row r="6" spans="1:13" ht="15.75" thickBot="1">
      <c r="A6" s="32"/>
      <c r="B6" s="33" t="s">
        <v>28</v>
      </c>
      <c r="C6" s="33">
        <f>SUM(C7:C12)</f>
        <v>182</v>
      </c>
      <c r="D6" s="33">
        <f aca="true" t="shared" si="0" ref="D6:M6">SUM(D7:D12)</f>
        <v>26</v>
      </c>
      <c r="E6" s="33">
        <f t="shared" si="0"/>
        <v>15</v>
      </c>
      <c r="F6" s="33">
        <f t="shared" si="0"/>
        <v>141</v>
      </c>
      <c r="G6" s="33">
        <f t="shared" si="0"/>
        <v>6894000</v>
      </c>
      <c r="H6" s="33">
        <f t="shared" si="0"/>
        <v>182</v>
      </c>
      <c r="I6" s="33">
        <f t="shared" si="0"/>
        <v>26</v>
      </c>
      <c r="J6" s="33">
        <f t="shared" si="0"/>
        <v>15</v>
      </c>
      <c r="K6" s="33">
        <f t="shared" si="0"/>
        <v>141</v>
      </c>
      <c r="L6" s="33">
        <f t="shared" si="0"/>
        <v>2753200</v>
      </c>
      <c r="M6" s="33">
        <f t="shared" si="0"/>
        <v>4140800</v>
      </c>
    </row>
    <row r="7" spans="1:14" ht="15">
      <c r="A7" s="24"/>
      <c r="B7" s="20" t="s">
        <v>21</v>
      </c>
      <c r="C7" s="21">
        <f aca="true" t="shared" si="1" ref="C7:C42">D7+E7+F7</f>
        <v>33</v>
      </c>
      <c r="D7" s="42">
        <v>7</v>
      </c>
      <c r="E7" s="42"/>
      <c r="F7" s="42">
        <v>26</v>
      </c>
      <c r="G7" s="22">
        <f aca="true" t="shared" si="2" ref="G7:G42">D7*85500+E7*43500+F7*28500</f>
        <v>1339500</v>
      </c>
      <c r="H7" s="21">
        <f aca="true" t="shared" si="3" ref="H7:H42">I7+J7+K7</f>
        <v>33</v>
      </c>
      <c r="I7" s="25">
        <f aca="true" t="shared" si="4" ref="I7:K12">D7</f>
        <v>7</v>
      </c>
      <c r="J7" s="25">
        <f t="shared" si="4"/>
        <v>0</v>
      </c>
      <c r="K7" s="25">
        <f t="shared" si="4"/>
        <v>26</v>
      </c>
      <c r="L7" s="22">
        <f aca="true" t="shared" si="5" ref="L7:L42">I7*26600+J7*19000+K7*12600</f>
        <v>513800</v>
      </c>
      <c r="M7" s="23">
        <f aca="true" t="shared" si="6" ref="M7:M12">G7-L7</f>
        <v>825700</v>
      </c>
      <c r="N7" s="43"/>
    </row>
    <row r="8" spans="1:13" ht="15">
      <c r="A8" s="24"/>
      <c r="B8" s="20" t="s">
        <v>22</v>
      </c>
      <c r="C8" s="21">
        <f t="shared" si="1"/>
        <v>37</v>
      </c>
      <c r="D8" s="42">
        <v>7</v>
      </c>
      <c r="E8" s="42"/>
      <c r="F8" s="42">
        <v>30</v>
      </c>
      <c r="G8" s="22">
        <f t="shared" si="2"/>
        <v>1453500</v>
      </c>
      <c r="H8" s="21">
        <f t="shared" si="3"/>
        <v>37</v>
      </c>
      <c r="I8" s="25">
        <f t="shared" si="4"/>
        <v>7</v>
      </c>
      <c r="J8" s="25">
        <f t="shared" si="4"/>
        <v>0</v>
      </c>
      <c r="K8" s="25">
        <f t="shared" si="4"/>
        <v>30</v>
      </c>
      <c r="L8" s="22">
        <f t="shared" si="5"/>
        <v>564200</v>
      </c>
      <c r="M8" s="23">
        <f t="shared" si="6"/>
        <v>889300</v>
      </c>
    </row>
    <row r="9" spans="1:13" ht="15">
      <c r="A9" s="24"/>
      <c r="B9" s="20" t="s">
        <v>23</v>
      </c>
      <c r="C9" s="21">
        <f t="shared" si="1"/>
        <v>22</v>
      </c>
      <c r="D9" s="25">
        <v>1</v>
      </c>
      <c r="E9" s="25">
        <v>2</v>
      </c>
      <c r="F9" s="25">
        <v>19</v>
      </c>
      <c r="G9" s="22">
        <f t="shared" si="2"/>
        <v>714000</v>
      </c>
      <c r="H9" s="21">
        <f t="shared" si="3"/>
        <v>22</v>
      </c>
      <c r="I9" s="25">
        <f t="shared" si="4"/>
        <v>1</v>
      </c>
      <c r="J9" s="25">
        <f t="shared" si="4"/>
        <v>2</v>
      </c>
      <c r="K9" s="25">
        <f t="shared" si="4"/>
        <v>19</v>
      </c>
      <c r="L9" s="22">
        <f t="shared" si="5"/>
        <v>304000</v>
      </c>
      <c r="M9" s="23">
        <f t="shared" si="6"/>
        <v>410000</v>
      </c>
    </row>
    <row r="10" spans="1:13" ht="15">
      <c r="A10" s="24"/>
      <c r="B10" s="20" t="s">
        <v>24</v>
      </c>
      <c r="C10" s="21">
        <f t="shared" si="1"/>
        <v>23</v>
      </c>
      <c r="D10" s="25">
        <v>2</v>
      </c>
      <c r="E10" s="25"/>
      <c r="F10" s="25">
        <v>21</v>
      </c>
      <c r="G10" s="22">
        <f t="shared" si="2"/>
        <v>769500</v>
      </c>
      <c r="H10" s="21">
        <f t="shared" si="3"/>
        <v>23</v>
      </c>
      <c r="I10" s="25">
        <f t="shared" si="4"/>
        <v>2</v>
      </c>
      <c r="J10" s="25">
        <f t="shared" si="4"/>
        <v>0</v>
      </c>
      <c r="K10" s="25">
        <f t="shared" si="4"/>
        <v>21</v>
      </c>
      <c r="L10" s="22">
        <f t="shared" si="5"/>
        <v>317800</v>
      </c>
      <c r="M10" s="23">
        <f t="shared" si="6"/>
        <v>451700</v>
      </c>
    </row>
    <row r="11" spans="1:13" ht="15">
      <c r="A11" s="24"/>
      <c r="B11" s="20" t="s">
        <v>80</v>
      </c>
      <c r="C11" s="21">
        <f t="shared" si="1"/>
        <v>31</v>
      </c>
      <c r="D11" s="25">
        <v>3</v>
      </c>
      <c r="E11" s="25">
        <v>7</v>
      </c>
      <c r="F11" s="25">
        <v>21</v>
      </c>
      <c r="G11" s="22">
        <f t="shared" si="2"/>
        <v>1159500</v>
      </c>
      <c r="H11" s="21">
        <f t="shared" si="3"/>
        <v>31</v>
      </c>
      <c r="I11" s="25">
        <f t="shared" si="4"/>
        <v>3</v>
      </c>
      <c r="J11" s="25">
        <f t="shared" si="4"/>
        <v>7</v>
      </c>
      <c r="K11" s="25">
        <f t="shared" si="4"/>
        <v>21</v>
      </c>
      <c r="L11" s="22">
        <f t="shared" si="5"/>
        <v>477400</v>
      </c>
      <c r="M11" s="23">
        <f t="shared" si="6"/>
        <v>682100</v>
      </c>
    </row>
    <row r="12" spans="1:13" ht="15.75" thickBot="1">
      <c r="A12" s="24"/>
      <c r="B12" s="20" t="s">
        <v>81</v>
      </c>
      <c r="C12" s="21">
        <f t="shared" si="1"/>
        <v>36</v>
      </c>
      <c r="D12" s="25">
        <v>6</v>
      </c>
      <c r="E12" s="25">
        <v>6</v>
      </c>
      <c r="F12" s="25">
        <v>24</v>
      </c>
      <c r="G12" s="22">
        <f t="shared" si="2"/>
        <v>1458000</v>
      </c>
      <c r="H12" s="21">
        <f t="shared" si="3"/>
        <v>36</v>
      </c>
      <c r="I12" s="25">
        <f t="shared" si="4"/>
        <v>6</v>
      </c>
      <c r="J12" s="25">
        <f t="shared" si="4"/>
        <v>6</v>
      </c>
      <c r="K12" s="25">
        <f t="shared" si="4"/>
        <v>24</v>
      </c>
      <c r="L12" s="22">
        <f t="shared" si="5"/>
        <v>576000</v>
      </c>
      <c r="M12" s="23">
        <f t="shared" si="6"/>
        <v>882000</v>
      </c>
    </row>
    <row r="13" spans="1:13" ht="15.75" thickBot="1">
      <c r="A13" s="32"/>
      <c r="B13" s="33" t="s">
        <v>29</v>
      </c>
      <c r="C13" s="33">
        <f>SUM(C14:C17)</f>
        <v>15</v>
      </c>
      <c r="D13" s="33">
        <f aca="true" t="shared" si="7" ref="D13:M13">SUM(D14:D17)</f>
        <v>0</v>
      </c>
      <c r="E13" s="33">
        <f t="shared" si="7"/>
        <v>14</v>
      </c>
      <c r="F13" s="33">
        <f t="shared" si="7"/>
        <v>1</v>
      </c>
      <c r="G13" s="33">
        <f t="shared" si="7"/>
        <v>637500</v>
      </c>
      <c r="H13" s="33">
        <f t="shared" si="7"/>
        <v>15</v>
      </c>
      <c r="I13" s="33">
        <f t="shared" si="7"/>
        <v>0</v>
      </c>
      <c r="J13" s="33">
        <f t="shared" si="7"/>
        <v>14</v>
      </c>
      <c r="K13" s="33">
        <f t="shared" si="7"/>
        <v>1</v>
      </c>
      <c r="L13" s="33">
        <f t="shared" si="7"/>
        <v>278600</v>
      </c>
      <c r="M13" s="33">
        <f t="shared" si="7"/>
        <v>358900</v>
      </c>
    </row>
    <row r="14" spans="1:13" ht="15">
      <c r="A14" s="24"/>
      <c r="B14" s="20" t="s">
        <v>76</v>
      </c>
      <c r="C14" s="21">
        <f>D14+E14+F14</f>
        <v>0</v>
      </c>
      <c r="D14" s="25"/>
      <c r="E14" s="25"/>
      <c r="F14" s="25"/>
      <c r="G14" s="22">
        <f t="shared" si="2"/>
        <v>0</v>
      </c>
      <c r="H14" s="21">
        <f>I14+J14+K14</f>
        <v>0</v>
      </c>
      <c r="I14" s="25">
        <f aca="true" t="shared" si="8" ref="I14:K17">D14</f>
        <v>0</v>
      </c>
      <c r="J14" s="25">
        <f t="shared" si="8"/>
        <v>0</v>
      </c>
      <c r="K14" s="25">
        <f t="shared" si="8"/>
        <v>0</v>
      </c>
      <c r="L14" s="22">
        <f>I14*26600+J14*19000+K14*12600</f>
        <v>0</v>
      </c>
      <c r="M14" s="23">
        <f>G14-L14</f>
        <v>0</v>
      </c>
    </row>
    <row r="15" spans="1:13" ht="15">
      <c r="A15" s="24"/>
      <c r="B15" s="20" t="s">
        <v>77</v>
      </c>
      <c r="C15" s="21">
        <f>D15+E15+F15</f>
        <v>4</v>
      </c>
      <c r="D15" s="25"/>
      <c r="E15" s="25">
        <v>4</v>
      </c>
      <c r="F15" s="25"/>
      <c r="G15" s="22">
        <f t="shared" si="2"/>
        <v>174000</v>
      </c>
      <c r="H15" s="21">
        <f>I15+J15+K15</f>
        <v>4</v>
      </c>
      <c r="I15" s="25">
        <f t="shared" si="8"/>
        <v>0</v>
      </c>
      <c r="J15" s="25">
        <f t="shared" si="8"/>
        <v>4</v>
      </c>
      <c r="K15" s="25">
        <f t="shared" si="8"/>
        <v>0</v>
      </c>
      <c r="L15" s="22">
        <f>I15*26600+J15*19000+K15*12600</f>
        <v>76000</v>
      </c>
      <c r="M15" s="23">
        <f>G15-L15</f>
        <v>98000</v>
      </c>
    </row>
    <row r="16" spans="1:13" ht="15">
      <c r="A16" s="24"/>
      <c r="B16" s="20" t="s">
        <v>24</v>
      </c>
      <c r="C16" s="21">
        <f>D16+E16+F16</f>
        <v>3</v>
      </c>
      <c r="D16" s="25"/>
      <c r="E16" s="25">
        <v>3</v>
      </c>
      <c r="F16" s="25"/>
      <c r="G16" s="22">
        <f t="shared" si="2"/>
        <v>130500</v>
      </c>
      <c r="H16" s="21">
        <f>I16+J16+K16</f>
        <v>3</v>
      </c>
      <c r="I16" s="25">
        <f t="shared" si="8"/>
        <v>0</v>
      </c>
      <c r="J16" s="25">
        <f t="shared" si="8"/>
        <v>3</v>
      </c>
      <c r="K16" s="25">
        <f t="shared" si="8"/>
        <v>0</v>
      </c>
      <c r="L16" s="22">
        <f>I16*26600+J16*19000+K16*12600</f>
        <v>57000</v>
      </c>
      <c r="M16" s="23">
        <f>G16-L16</f>
        <v>73500</v>
      </c>
    </row>
    <row r="17" spans="1:13" ht="15.75" thickBot="1">
      <c r="A17" s="24"/>
      <c r="B17" s="20" t="s">
        <v>81</v>
      </c>
      <c r="C17" s="21">
        <f>D17+E17+F17</f>
        <v>8</v>
      </c>
      <c r="D17" s="25"/>
      <c r="E17" s="25">
        <v>7</v>
      </c>
      <c r="F17" s="25">
        <v>1</v>
      </c>
      <c r="G17" s="22">
        <f t="shared" si="2"/>
        <v>333000</v>
      </c>
      <c r="H17" s="21">
        <f>I17+J17+K17</f>
        <v>8</v>
      </c>
      <c r="I17" s="25">
        <f t="shared" si="8"/>
        <v>0</v>
      </c>
      <c r="J17" s="25">
        <f t="shared" si="8"/>
        <v>7</v>
      </c>
      <c r="K17" s="25">
        <f t="shared" si="8"/>
        <v>1</v>
      </c>
      <c r="L17" s="22">
        <f>I17*26600+J17*19000+K17*12600</f>
        <v>145600</v>
      </c>
      <c r="M17" s="23">
        <f>G17-L17</f>
        <v>187400</v>
      </c>
    </row>
    <row r="18" spans="1:13" ht="15.75" thickBot="1">
      <c r="A18" s="32"/>
      <c r="B18" s="33" t="s">
        <v>20</v>
      </c>
      <c r="C18" s="33">
        <f>SUM(C19:C30)</f>
        <v>243</v>
      </c>
      <c r="D18" s="33">
        <f aca="true" t="shared" si="9" ref="D18:M18">SUM(D19:D30)</f>
        <v>5</v>
      </c>
      <c r="E18" s="33">
        <f t="shared" si="9"/>
        <v>0</v>
      </c>
      <c r="F18" s="33">
        <f t="shared" si="9"/>
        <v>238</v>
      </c>
      <c r="G18" s="33">
        <f t="shared" si="9"/>
        <v>7210500</v>
      </c>
      <c r="H18" s="33">
        <f t="shared" si="9"/>
        <v>243</v>
      </c>
      <c r="I18" s="33">
        <f t="shared" si="9"/>
        <v>5</v>
      </c>
      <c r="J18" s="33">
        <f t="shared" si="9"/>
        <v>0</v>
      </c>
      <c r="K18" s="33">
        <f t="shared" si="9"/>
        <v>238</v>
      </c>
      <c r="L18" s="33">
        <f t="shared" si="9"/>
        <v>3131800</v>
      </c>
      <c r="M18" s="33">
        <f t="shared" si="9"/>
        <v>4078700</v>
      </c>
    </row>
    <row r="19" spans="1:13" ht="15">
      <c r="A19" s="24"/>
      <c r="B19" s="20" t="s">
        <v>76</v>
      </c>
      <c r="C19" s="21">
        <f t="shared" si="1"/>
        <v>20</v>
      </c>
      <c r="D19" s="25"/>
      <c r="E19" s="25"/>
      <c r="F19" s="25">
        <v>20</v>
      </c>
      <c r="G19" s="22">
        <f t="shared" si="2"/>
        <v>570000</v>
      </c>
      <c r="H19" s="21">
        <f t="shared" si="3"/>
        <v>20</v>
      </c>
      <c r="I19" s="25">
        <f>D19</f>
        <v>0</v>
      </c>
      <c r="J19" s="25">
        <f>E19</f>
        <v>0</v>
      </c>
      <c r="K19" s="25">
        <f>F19</f>
        <v>20</v>
      </c>
      <c r="L19" s="22">
        <f>I19*26600+J19*19000+K19*12600</f>
        <v>252000</v>
      </c>
      <c r="M19" s="23">
        <f aca="true" t="shared" si="10" ref="M19:M30">G19-L19</f>
        <v>318000</v>
      </c>
    </row>
    <row r="20" spans="1:13" ht="15">
      <c r="A20" s="24"/>
      <c r="B20" s="20"/>
      <c r="C20" s="21">
        <f t="shared" si="1"/>
        <v>24</v>
      </c>
      <c r="D20" s="25"/>
      <c r="E20" s="25"/>
      <c r="F20" s="25">
        <v>24</v>
      </c>
      <c r="G20" s="22">
        <f t="shared" si="2"/>
        <v>684000</v>
      </c>
      <c r="H20" s="21">
        <f t="shared" si="3"/>
        <v>24</v>
      </c>
      <c r="I20" s="25">
        <f aca="true" t="shared" si="11" ref="I20:I30">D20</f>
        <v>0</v>
      </c>
      <c r="J20" s="25">
        <f aca="true" t="shared" si="12" ref="J20:J30">E20</f>
        <v>0</v>
      </c>
      <c r="K20" s="25">
        <f aca="true" t="shared" si="13" ref="K20:K30">F20</f>
        <v>24</v>
      </c>
      <c r="L20" s="22">
        <f t="shared" si="5"/>
        <v>302400</v>
      </c>
      <c r="M20" s="23">
        <f t="shared" si="10"/>
        <v>381600</v>
      </c>
    </row>
    <row r="21" spans="1:13" ht="15">
      <c r="A21" s="24"/>
      <c r="B21" s="20" t="s">
        <v>22</v>
      </c>
      <c r="C21" s="21">
        <f t="shared" si="1"/>
        <v>15</v>
      </c>
      <c r="D21" s="25"/>
      <c r="E21" s="25"/>
      <c r="F21" s="25">
        <v>15</v>
      </c>
      <c r="G21" s="22">
        <f t="shared" si="2"/>
        <v>427500</v>
      </c>
      <c r="H21" s="21">
        <f t="shared" si="3"/>
        <v>15</v>
      </c>
      <c r="I21" s="25">
        <f t="shared" si="11"/>
        <v>0</v>
      </c>
      <c r="J21" s="25">
        <f t="shared" si="12"/>
        <v>0</v>
      </c>
      <c r="K21" s="25">
        <f t="shared" si="13"/>
        <v>15</v>
      </c>
      <c r="L21" s="22">
        <f t="shared" si="5"/>
        <v>189000</v>
      </c>
      <c r="M21" s="23">
        <f t="shared" si="10"/>
        <v>238500</v>
      </c>
    </row>
    <row r="22" spans="1:13" ht="15">
      <c r="A22" s="24"/>
      <c r="B22" s="20"/>
      <c r="C22" s="21">
        <f t="shared" si="1"/>
        <v>34</v>
      </c>
      <c r="D22" s="25">
        <v>2</v>
      </c>
      <c r="E22" s="25"/>
      <c r="F22" s="25">
        <v>32</v>
      </c>
      <c r="G22" s="22">
        <f t="shared" si="2"/>
        <v>1083000</v>
      </c>
      <c r="H22" s="21">
        <f t="shared" si="3"/>
        <v>34</v>
      </c>
      <c r="I22" s="25">
        <f t="shared" si="11"/>
        <v>2</v>
      </c>
      <c r="J22" s="25">
        <f t="shared" si="12"/>
        <v>0</v>
      </c>
      <c r="K22" s="25">
        <f t="shared" si="13"/>
        <v>32</v>
      </c>
      <c r="L22" s="22">
        <f t="shared" si="5"/>
        <v>456400</v>
      </c>
      <c r="M22" s="23">
        <f t="shared" si="10"/>
        <v>626600</v>
      </c>
    </row>
    <row r="23" spans="1:13" ht="15">
      <c r="A23" s="24"/>
      <c r="B23" s="20" t="s">
        <v>23</v>
      </c>
      <c r="C23" s="21">
        <f t="shared" si="1"/>
        <v>11</v>
      </c>
      <c r="D23" s="25"/>
      <c r="E23" s="25"/>
      <c r="F23" s="25">
        <v>11</v>
      </c>
      <c r="G23" s="22">
        <f t="shared" si="2"/>
        <v>313500</v>
      </c>
      <c r="H23" s="21">
        <f t="shared" si="3"/>
        <v>11</v>
      </c>
      <c r="I23" s="25">
        <f t="shared" si="11"/>
        <v>0</v>
      </c>
      <c r="J23" s="25">
        <f t="shared" si="12"/>
        <v>0</v>
      </c>
      <c r="K23" s="25">
        <f t="shared" si="13"/>
        <v>11</v>
      </c>
      <c r="L23" s="22">
        <f t="shared" si="5"/>
        <v>138600</v>
      </c>
      <c r="M23" s="23">
        <f t="shared" si="10"/>
        <v>174900</v>
      </c>
    </row>
    <row r="24" spans="1:13" ht="15">
      <c r="A24" s="24"/>
      <c r="B24" s="20"/>
      <c r="C24" s="21">
        <f t="shared" si="1"/>
        <v>16</v>
      </c>
      <c r="D24" s="25"/>
      <c r="E24" s="25"/>
      <c r="F24" s="25">
        <v>16</v>
      </c>
      <c r="G24" s="22">
        <f t="shared" si="2"/>
        <v>456000</v>
      </c>
      <c r="H24" s="21">
        <f t="shared" si="3"/>
        <v>16</v>
      </c>
      <c r="I24" s="25">
        <f t="shared" si="11"/>
        <v>0</v>
      </c>
      <c r="J24" s="25">
        <f t="shared" si="12"/>
        <v>0</v>
      </c>
      <c r="K24" s="25">
        <f t="shared" si="13"/>
        <v>16</v>
      </c>
      <c r="L24" s="22">
        <f t="shared" si="5"/>
        <v>201600</v>
      </c>
      <c r="M24" s="23">
        <f t="shared" si="10"/>
        <v>254400</v>
      </c>
    </row>
    <row r="25" spans="1:13" ht="15">
      <c r="A25" s="24"/>
      <c r="B25" s="20" t="s">
        <v>24</v>
      </c>
      <c r="C25" s="21">
        <f t="shared" si="1"/>
        <v>30</v>
      </c>
      <c r="D25" s="25"/>
      <c r="E25" s="25"/>
      <c r="F25" s="25">
        <v>30</v>
      </c>
      <c r="G25" s="22">
        <f t="shared" si="2"/>
        <v>855000</v>
      </c>
      <c r="H25" s="21">
        <f t="shared" si="3"/>
        <v>30</v>
      </c>
      <c r="I25" s="25">
        <f t="shared" si="11"/>
        <v>0</v>
      </c>
      <c r="J25" s="25">
        <f t="shared" si="12"/>
        <v>0</v>
      </c>
      <c r="K25" s="25">
        <f t="shared" si="13"/>
        <v>30</v>
      </c>
      <c r="L25" s="22">
        <f t="shared" si="5"/>
        <v>378000</v>
      </c>
      <c r="M25" s="23">
        <f t="shared" si="10"/>
        <v>477000</v>
      </c>
    </row>
    <row r="26" spans="1:13" ht="15">
      <c r="A26" s="24"/>
      <c r="B26" s="20"/>
      <c r="C26" s="21">
        <f t="shared" si="1"/>
        <v>24</v>
      </c>
      <c r="D26" s="25"/>
      <c r="E26" s="25"/>
      <c r="F26" s="25">
        <v>24</v>
      </c>
      <c r="G26" s="22">
        <f t="shared" si="2"/>
        <v>684000</v>
      </c>
      <c r="H26" s="21">
        <f t="shared" si="3"/>
        <v>24</v>
      </c>
      <c r="I26" s="25">
        <f t="shared" si="11"/>
        <v>0</v>
      </c>
      <c r="J26" s="25">
        <f t="shared" si="12"/>
        <v>0</v>
      </c>
      <c r="K26" s="25">
        <f t="shared" si="13"/>
        <v>24</v>
      </c>
      <c r="L26" s="22">
        <f t="shared" si="5"/>
        <v>302400</v>
      </c>
      <c r="M26" s="23">
        <f t="shared" si="10"/>
        <v>381600</v>
      </c>
    </row>
    <row r="27" spans="1:13" ht="15">
      <c r="A27" s="24"/>
      <c r="B27" s="20" t="s">
        <v>80</v>
      </c>
      <c r="C27" s="21">
        <f>D27+E27+F27</f>
        <v>22</v>
      </c>
      <c r="D27" s="25">
        <v>1</v>
      </c>
      <c r="E27" s="25"/>
      <c r="F27" s="25">
        <v>21</v>
      </c>
      <c r="G27" s="22">
        <f t="shared" si="2"/>
        <v>684000</v>
      </c>
      <c r="H27" s="21">
        <f>I27+J27+K27</f>
        <v>22</v>
      </c>
      <c r="I27" s="25">
        <f t="shared" si="11"/>
        <v>1</v>
      </c>
      <c r="J27" s="25">
        <f t="shared" si="12"/>
        <v>0</v>
      </c>
      <c r="K27" s="25">
        <f t="shared" si="13"/>
        <v>21</v>
      </c>
      <c r="L27" s="22">
        <f>I27*26600+J27*19000+K27*12600</f>
        <v>291200</v>
      </c>
      <c r="M27" s="23">
        <f t="shared" si="10"/>
        <v>392800</v>
      </c>
    </row>
    <row r="28" spans="1:13" ht="15">
      <c r="A28" s="24"/>
      <c r="B28" s="20"/>
      <c r="C28" s="21">
        <f t="shared" si="1"/>
        <v>11</v>
      </c>
      <c r="D28" s="25"/>
      <c r="E28" s="25"/>
      <c r="F28" s="25">
        <v>11</v>
      </c>
      <c r="G28" s="22">
        <f t="shared" si="2"/>
        <v>313500</v>
      </c>
      <c r="H28" s="21">
        <f t="shared" si="3"/>
        <v>11</v>
      </c>
      <c r="I28" s="25">
        <f t="shared" si="11"/>
        <v>0</v>
      </c>
      <c r="J28" s="25">
        <f t="shared" si="12"/>
        <v>0</v>
      </c>
      <c r="K28" s="25">
        <f t="shared" si="13"/>
        <v>11</v>
      </c>
      <c r="L28" s="22">
        <f t="shared" si="5"/>
        <v>138600</v>
      </c>
      <c r="M28" s="23">
        <f t="shared" si="10"/>
        <v>174900</v>
      </c>
    </row>
    <row r="29" spans="1:13" ht="15">
      <c r="A29" s="24"/>
      <c r="B29" s="20" t="s">
        <v>81</v>
      </c>
      <c r="C29" s="21">
        <f t="shared" si="1"/>
        <v>19</v>
      </c>
      <c r="D29" s="25">
        <v>2</v>
      </c>
      <c r="E29" s="25"/>
      <c r="F29" s="25">
        <v>17</v>
      </c>
      <c r="G29" s="22">
        <f t="shared" si="2"/>
        <v>655500</v>
      </c>
      <c r="H29" s="21">
        <f t="shared" si="3"/>
        <v>19</v>
      </c>
      <c r="I29" s="25">
        <f t="shared" si="11"/>
        <v>2</v>
      </c>
      <c r="J29" s="25">
        <f t="shared" si="12"/>
        <v>0</v>
      </c>
      <c r="K29" s="25">
        <f t="shared" si="13"/>
        <v>17</v>
      </c>
      <c r="L29" s="22">
        <f t="shared" si="5"/>
        <v>267400</v>
      </c>
      <c r="M29" s="23">
        <f t="shared" si="10"/>
        <v>388100</v>
      </c>
    </row>
    <row r="30" spans="1:13" ht="15.75" thickBot="1">
      <c r="A30" s="24"/>
      <c r="B30" s="20"/>
      <c r="C30" s="21">
        <f t="shared" si="1"/>
        <v>17</v>
      </c>
      <c r="D30" s="25"/>
      <c r="E30" s="25"/>
      <c r="F30" s="25">
        <v>17</v>
      </c>
      <c r="G30" s="22">
        <f t="shared" si="2"/>
        <v>484500</v>
      </c>
      <c r="H30" s="21">
        <f t="shared" si="3"/>
        <v>17</v>
      </c>
      <c r="I30" s="25">
        <f t="shared" si="11"/>
        <v>0</v>
      </c>
      <c r="J30" s="25">
        <f t="shared" si="12"/>
        <v>0</v>
      </c>
      <c r="K30" s="25">
        <f t="shared" si="13"/>
        <v>17</v>
      </c>
      <c r="L30" s="22">
        <f t="shared" si="5"/>
        <v>214200</v>
      </c>
      <c r="M30" s="23">
        <f t="shared" si="10"/>
        <v>270300</v>
      </c>
    </row>
    <row r="31" spans="1:15" ht="15.75" thickBot="1">
      <c r="A31" s="32"/>
      <c r="B31" s="33" t="s">
        <v>26</v>
      </c>
      <c r="C31" s="33">
        <f>SUM(C32:C42)</f>
        <v>349</v>
      </c>
      <c r="D31" s="33">
        <f aca="true" t="shared" si="14" ref="D31:M31">SUM(D32:D42)</f>
        <v>349</v>
      </c>
      <c r="E31" s="33">
        <f t="shared" si="14"/>
        <v>0</v>
      </c>
      <c r="F31" s="33">
        <f t="shared" si="14"/>
        <v>0</v>
      </c>
      <c r="G31" s="33">
        <f t="shared" si="14"/>
        <v>29839500</v>
      </c>
      <c r="H31" s="33">
        <f t="shared" si="14"/>
        <v>349</v>
      </c>
      <c r="I31" s="33">
        <f t="shared" si="14"/>
        <v>349</v>
      </c>
      <c r="J31" s="33">
        <f t="shared" si="14"/>
        <v>0</v>
      </c>
      <c r="K31" s="33">
        <f t="shared" si="14"/>
        <v>0</v>
      </c>
      <c r="L31" s="33">
        <f t="shared" si="14"/>
        <v>9283400</v>
      </c>
      <c r="M31" s="33">
        <f t="shared" si="14"/>
        <v>20556100</v>
      </c>
      <c r="N31" s="40"/>
      <c r="O31" s="40"/>
    </row>
    <row r="32" spans="1:13" ht="15">
      <c r="A32" s="24"/>
      <c r="B32" s="20" t="s">
        <v>76</v>
      </c>
      <c r="C32" s="21">
        <f t="shared" si="1"/>
        <v>26</v>
      </c>
      <c r="D32" s="25">
        <v>26</v>
      </c>
      <c r="E32" s="25"/>
      <c r="F32" s="25"/>
      <c r="G32" s="22">
        <f t="shared" si="2"/>
        <v>2223000</v>
      </c>
      <c r="H32" s="21">
        <f t="shared" si="3"/>
        <v>26</v>
      </c>
      <c r="I32" s="25">
        <f>D32</f>
        <v>26</v>
      </c>
      <c r="J32" s="25">
        <f>E32</f>
        <v>0</v>
      </c>
      <c r="K32" s="25">
        <f>F32</f>
        <v>0</v>
      </c>
      <c r="L32" s="22">
        <f t="shared" si="5"/>
        <v>691600</v>
      </c>
      <c r="M32" s="23">
        <f aca="true" t="shared" si="15" ref="M32:M42">G32-L32</f>
        <v>1531400</v>
      </c>
    </row>
    <row r="33" spans="1:14" ht="15">
      <c r="A33" s="24"/>
      <c r="B33" s="20" t="s">
        <v>22</v>
      </c>
      <c r="C33" s="21">
        <f t="shared" si="1"/>
        <v>67</v>
      </c>
      <c r="D33" s="25">
        <v>67</v>
      </c>
      <c r="E33" s="25"/>
      <c r="F33" s="25"/>
      <c r="G33" s="22">
        <f t="shared" si="2"/>
        <v>5728500</v>
      </c>
      <c r="H33" s="21">
        <f t="shared" si="3"/>
        <v>67</v>
      </c>
      <c r="I33" s="25">
        <f aca="true" t="shared" si="16" ref="I33:I42">D33</f>
        <v>67</v>
      </c>
      <c r="J33" s="25">
        <f aca="true" t="shared" si="17" ref="J33:J42">E33</f>
        <v>0</v>
      </c>
      <c r="K33" s="25">
        <f aca="true" t="shared" si="18" ref="K33:K42">F33</f>
        <v>0</v>
      </c>
      <c r="L33" s="22">
        <f t="shared" si="5"/>
        <v>1782200</v>
      </c>
      <c r="M33" s="23">
        <f t="shared" si="15"/>
        <v>3946300</v>
      </c>
      <c r="N33" s="43"/>
    </row>
    <row r="34" spans="1:15" ht="15">
      <c r="A34" s="24"/>
      <c r="B34" s="20" t="s">
        <v>23</v>
      </c>
      <c r="C34" s="21">
        <f t="shared" si="1"/>
        <v>44</v>
      </c>
      <c r="D34" s="25">
        <v>44</v>
      </c>
      <c r="E34" s="25"/>
      <c r="F34" s="25"/>
      <c r="G34" s="22">
        <f t="shared" si="2"/>
        <v>3762000</v>
      </c>
      <c r="H34" s="21">
        <f t="shared" si="3"/>
        <v>44</v>
      </c>
      <c r="I34" s="25">
        <f t="shared" si="16"/>
        <v>44</v>
      </c>
      <c r="J34" s="25">
        <f t="shared" si="17"/>
        <v>0</v>
      </c>
      <c r="K34" s="25">
        <f t="shared" si="18"/>
        <v>0</v>
      </c>
      <c r="L34" s="22">
        <f t="shared" si="5"/>
        <v>1170400</v>
      </c>
      <c r="M34" s="23">
        <f t="shared" si="15"/>
        <v>2591600</v>
      </c>
      <c r="N34" s="43"/>
      <c r="O34" s="40" t="e">
        <f>M31+#REF!+#REF!</f>
        <v>#REF!</v>
      </c>
    </row>
    <row r="35" spans="1:14" ht="15">
      <c r="A35" s="24"/>
      <c r="B35" s="20" t="s">
        <v>24</v>
      </c>
      <c r="C35" s="21">
        <f t="shared" si="1"/>
        <v>69</v>
      </c>
      <c r="D35" s="25">
        <v>69</v>
      </c>
      <c r="E35" s="25"/>
      <c r="F35" s="25"/>
      <c r="G35" s="22">
        <f t="shared" si="2"/>
        <v>5899500</v>
      </c>
      <c r="H35" s="21">
        <f t="shared" si="3"/>
        <v>69</v>
      </c>
      <c r="I35" s="25">
        <f t="shared" si="16"/>
        <v>69</v>
      </c>
      <c r="J35" s="25">
        <f t="shared" si="17"/>
        <v>0</v>
      </c>
      <c r="K35" s="25">
        <f t="shared" si="18"/>
        <v>0</v>
      </c>
      <c r="L35" s="22">
        <f t="shared" si="5"/>
        <v>1835400</v>
      </c>
      <c r="M35" s="23">
        <f t="shared" si="15"/>
        <v>4064100</v>
      </c>
      <c r="N35" s="43"/>
    </row>
    <row r="36" spans="1:13" ht="15">
      <c r="A36" s="24"/>
      <c r="B36" s="20" t="s">
        <v>80</v>
      </c>
      <c r="C36" s="21">
        <f t="shared" si="1"/>
        <v>86</v>
      </c>
      <c r="D36" s="25">
        <v>86</v>
      </c>
      <c r="E36" s="25"/>
      <c r="F36" s="25"/>
      <c r="G36" s="22">
        <f t="shared" si="2"/>
        <v>7353000</v>
      </c>
      <c r="H36" s="21">
        <f t="shared" si="3"/>
        <v>86</v>
      </c>
      <c r="I36" s="25">
        <f t="shared" si="16"/>
        <v>86</v>
      </c>
      <c r="J36" s="25">
        <f t="shared" si="17"/>
        <v>0</v>
      </c>
      <c r="K36" s="25">
        <f t="shared" si="18"/>
        <v>0</v>
      </c>
      <c r="L36" s="22">
        <f t="shared" si="5"/>
        <v>2287600</v>
      </c>
      <c r="M36" s="23">
        <f t="shared" si="15"/>
        <v>5065400</v>
      </c>
    </row>
    <row r="37" spans="1:13" ht="15.75" thickBot="1">
      <c r="A37" s="24"/>
      <c r="B37" s="20" t="s">
        <v>81</v>
      </c>
      <c r="C37" s="21">
        <f t="shared" si="1"/>
        <v>57</v>
      </c>
      <c r="D37" s="25">
        <v>57</v>
      </c>
      <c r="E37" s="25"/>
      <c r="F37" s="25"/>
      <c r="G37" s="22">
        <f t="shared" si="2"/>
        <v>4873500</v>
      </c>
      <c r="H37" s="21">
        <f t="shared" si="3"/>
        <v>57</v>
      </c>
      <c r="I37" s="25">
        <f t="shared" si="16"/>
        <v>57</v>
      </c>
      <c r="J37" s="25">
        <f t="shared" si="17"/>
        <v>0</v>
      </c>
      <c r="K37" s="25">
        <f t="shared" si="18"/>
        <v>0</v>
      </c>
      <c r="L37" s="22">
        <f t="shared" si="5"/>
        <v>1516200</v>
      </c>
      <c r="M37" s="23">
        <f t="shared" si="15"/>
        <v>3357300</v>
      </c>
    </row>
    <row r="38" spans="1:13" ht="15" hidden="1">
      <c r="A38" s="24"/>
      <c r="B38" s="20"/>
      <c r="C38" s="21">
        <f t="shared" si="1"/>
        <v>0</v>
      </c>
      <c r="D38" s="25"/>
      <c r="E38" s="25"/>
      <c r="F38" s="25"/>
      <c r="G38" s="22">
        <f t="shared" si="2"/>
        <v>0</v>
      </c>
      <c r="H38" s="21">
        <f t="shared" si="3"/>
        <v>0</v>
      </c>
      <c r="I38" s="25">
        <f t="shared" si="16"/>
        <v>0</v>
      </c>
      <c r="J38" s="25">
        <f t="shared" si="17"/>
        <v>0</v>
      </c>
      <c r="K38" s="25">
        <f t="shared" si="18"/>
        <v>0</v>
      </c>
      <c r="L38" s="22">
        <f t="shared" si="5"/>
        <v>0</v>
      </c>
      <c r="M38" s="23">
        <f t="shared" si="15"/>
        <v>0</v>
      </c>
    </row>
    <row r="39" spans="1:13" ht="15" hidden="1">
      <c r="A39" s="24"/>
      <c r="B39" s="20"/>
      <c r="C39" s="21">
        <f t="shared" si="1"/>
        <v>0</v>
      </c>
      <c r="D39" s="25"/>
      <c r="E39" s="25"/>
      <c r="F39" s="25"/>
      <c r="G39" s="22">
        <f t="shared" si="2"/>
        <v>0</v>
      </c>
      <c r="H39" s="21">
        <f t="shared" si="3"/>
        <v>0</v>
      </c>
      <c r="I39" s="25">
        <f t="shared" si="16"/>
        <v>0</v>
      </c>
      <c r="J39" s="25">
        <f t="shared" si="17"/>
        <v>0</v>
      </c>
      <c r="K39" s="25">
        <f t="shared" si="18"/>
        <v>0</v>
      </c>
      <c r="L39" s="22">
        <f t="shared" si="5"/>
        <v>0</v>
      </c>
      <c r="M39" s="23">
        <f t="shared" si="15"/>
        <v>0</v>
      </c>
    </row>
    <row r="40" spans="1:13" ht="15" hidden="1">
      <c r="A40" s="24"/>
      <c r="B40" s="20"/>
      <c r="C40" s="21">
        <f t="shared" si="1"/>
        <v>0</v>
      </c>
      <c r="D40" s="25"/>
      <c r="E40" s="25"/>
      <c r="F40" s="25"/>
      <c r="G40" s="22">
        <f t="shared" si="2"/>
        <v>0</v>
      </c>
      <c r="H40" s="21">
        <f t="shared" si="3"/>
        <v>0</v>
      </c>
      <c r="I40" s="25">
        <f t="shared" si="16"/>
        <v>0</v>
      </c>
      <c r="J40" s="25">
        <f t="shared" si="17"/>
        <v>0</v>
      </c>
      <c r="K40" s="25">
        <f t="shared" si="18"/>
        <v>0</v>
      </c>
      <c r="L40" s="22">
        <f t="shared" si="5"/>
        <v>0</v>
      </c>
      <c r="M40" s="23">
        <f t="shared" si="15"/>
        <v>0</v>
      </c>
    </row>
    <row r="41" spans="1:13" ht="15" hidden="1">
      <c r="A41" s="24"/>
      <c r="B41" s="20"/>
      <c r="C41" s="21">
        <f t="shared" si="1"/>
        <v>0</v>
      </c>
      <c r="D41" s="25"/>
      <c r="E41" s="25"/>
      <c r="F41" s="25"/>
      <c r="G41" s="22">
        <f t="shared" si="2"/>
        <v>0</v>
      </c>
      <c r="H41" s="21">
        <f t="shared" si="3"/>
        <v>0</v>
      </c>
      <c r="I41" s="25">
        <f t="shared" si="16"/>
        <v>0</v>
      </c>
      <c r="J41" s="25">
        <f t="shared" si="17"/>
        <v>0</v>
      </c>
      <c r="K41" s="25">
        <f t="shared" si="18"/>
        <v>0</v>
      </c>
      <c r="L41" s="22">
        <f t="shared" si="5"/>
        <v>0</v>
      </c>
      <c r="M41" s="23">
        <f t="shared" si="15"/>
        <v>0</v>
      </c>
    </row>
    <row r="42" spans="1:13" ht="15.75" hidden="1" thickBot="1">
      <c r="A42" s="24"/>
      <c r="B42" s="20"/>
      <c r="C42" s="21">
        <f t="shared" si="1"/>
        <v>0</v>
      </c>
      <c r="D42" s="25"/>
      <c r="E42" s="25"/>
      <c r="F42" s="25"/>
      <c r="G42" s="22">
        <f t="shared" si="2"/>
        <v>0</v>
      </c>
      <c r="H42" s="21">
        <f t="shared" si="3"/>
        <v>0</v>
      </c>
      <c r="I42" s="25">
        <f t="shared" si="16"/>
        <v>0</v>
      </c>
      <c r="J42" s="25">
        <f t="shared" si="17"/>
        <v>0</v>
      </c>
      <c r="K42" s="25">
        <f t="shared" si="18"/>
        <v>0</v>
      </c>
      <c r="L42" s="22">
        <f t="shared" si="5"/>
        <v>0</v>
      </c>
      <c r="M42" s="23">
        <f t="shared" si="15"/>
        <v>0</v>
      </c>
    </row>
    <row r="43" spans="1:13" ht="15.75" thickBot="1">
      <c r="A43" s="37" t="s">
        <v>2</v>
      </c>
      <c r="B43" s="38"/>
      <c r="C43" s="39">
        <f>C31+C18+C6+C13</f>
        <v>789</v>
      </c>
      <c r="D43" s="39">
        <f aca="true" t="shared" si="19" ref="D43:L43">D31+D18+D6+D13</f>
        <v>380</v>
      </c>
      <c r="E43" s="39">
        <f t="shared" si="19"/>
        <v>29</v>
      </c>
      <c r="F43" s="39">
        <f t="shared" si="19"/>
        <v>380</v>
      </c>
      <c r="G43" s="39">
        <f t="shared" si="19"/>
        <v>44581500</v>
      </c>
      <c r="H43" s="39">
        <f t="shared" si="19"/>
        <v>789</v>
      </c>
      <c r="I43" s="39">
        <f t="shared" si="19"/>
        <v>380</v>
      </c>
      <c r="J43" s="39">
        <f t="shared" si="19"/>
        <v>29</v>
      </c>
      <c r="K43" s="39">
        <f t="shared" si="19"/>
        <v>380</v>
      </c>
      <c r="L43" s="39">
        <f t="shared" si="19"/>
        <v>15447000</v>
      </c>
      <c r="M43" s="64">
        <f>M31+M18+M6+M13</f>
        <v>29134500</v>
      </c>
    </row>
    <row r="44" ht="15.75" thickTop="1"/>
    <row r="45" ht="15">
      <c r="L45" s="40"/>
    </row>
    <row r="48" spans="2:12" ht="15">
      <c r="B48" s="40"/>
      <c r="L48" s="40"/>
    </row>
    <row r="49" spans="2:12" ht="15">
      <c r="B49" s="40"/>
      <c r="L49" s="40"/>
    </row>
  </sheetData>
  <sheetProtection/>
  <mergeCells count="10">
    <mergeCell ref="H3:L3"/>
    <mergeCell ref="M3:M5"/>
    <mergeCell ref="C4:C5"/>
    <mergeCell ref="A3:A5"/>
    <mergeCell ref="A1:M1"/>
    <mergeCell ref="L4:L5"/>
    <mergeCell ref="G4:G5"/>
    <mergeCell ref="H4:H5"/>
    <mergeCell ref="B3:B5"/>
    <mergeCell ref="C3:G3"/>
  </mergeCells>
  <printOptions/>
  <pageMargins left="0.2" right="0.17" top="0.24" bottom="0.17" header="0.21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27"/>
  <sheetViews>
    <sheetView zoomScalePageLayoutView="0" workbookViewId="0" topLeftCell="A7">
      <selection activeCell="J13" sqref="J13"/>
    </sheetView>
  </sheetViews>
  <sheetFormatPr defaultColWidth="9.140625" defaultRowHeight="15"/>
  <cols>
    <col min="1" max="1" width="7.28125" style="45" customWidth="1"/>
    <col min="2" max="2" width="25.28125" style="45" customWidth="1"/>
    <col min="3" max="4" width="9.140625" style="45" customWidth="1"/>
    <col min="5" max="5" width="10.421875" style="45" customWidth="1"/>
    <col min="6" max="6" width="11.57421875" style="45" customWidth="1"/>
    <col min="7" max="8" width="10.421875" style="45" customWidth="1"/>
    <col min="9" max="9" width="12.00390625" style="45" customWidth="1"/>
    <col min="10" max="10" width="13.8515625" style="45" customWidth="1"/>
    <col min="11" max="11" width="12.8515625" style="45" customWidth="1"/>
  </cols>
  <sheetData>
    <row r="1" spans="1:4" ht="18.75">
      <c r="A1" s="208" t="s">
        <v>47</v>
      </c>
      <c r="B1" s="208"/>
      <c r="C1" s="208"/>
      <c r="D1" s="208"/>
    </row>
    <row r="2" spans="1:4" ht="18.75">
      <c r="A2" s="208" t="s">
        <v>107</v>
      </c>
      <c r="B2" s="208"/>
      <c r="C2" s="208"/>
      <c r="D2" s="208"/>
    </row>
    <row r="3" spans="1:3" ht="18.75">
      <c r="A3" s="111"/>
      <c r="B3" s="111"/>
      <c r="C3" s="111"/>
    </row>
    <row r="4" spans="1:11" ht="45.75" customHeight="1">
      <c r="A4" s="198" t="s">
        <v>35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18.75">
      <c r="A5" s="198" t="s">
        <v>99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2" ht="18.75">
      <c r="A6" s="199" t="s">
        <v>36</v>
      </c>
      <c r="B6" s="199"/>
    </row>
    <row r="7" spans="1:2" ht="19.5" thickBot="1">
      <c r="A7" s="60"/>
      <c r="B7" s="60"/>
    </row>
    <row r="8" spans="1:11" ht="19.5" thickTop="1">
      <c r="A8" s="200" t="s">
        <v>0</v>
      </c>
      <c r="B8" s="202" t="s">
        <v>32</v>
      </c>
      <c r="C8" s="205" t="s">
        <v>31</v>
      </c>
      <c r="D8" s="206"/>
      <c r="E8" s="206"/>
      <c r="F8" s="206"/>
      <c r="G8" s="206"/>
      <c r="H8" s="207"/>
      <c r="I8" s="204" t="s">
        <v>105</v>
      </c>
      <c r="J8" s="202" t="s">
        <v>1</v>
      </c>
      <c r="K8" s="195" t="s">
        <v>34</v>
      </c>
    </row>
    <row r="9" spans="1:11" ht="18.75">
      <c r="A9" s="201"/>
      <c r="B9" s="203"/>
      <c r="C9" s="112" t="s">
        <v>90</v>
      </c>
      <c r="D9" s="112" t="s">
        <v>91</v>
      </c>
      <c r="E9" s="112" t="s">
        <v>92</v>
      </c>
      <c r="F9" s="112" t="s">
        <v>93</v>
      </c>
      <c r="G9" s="112" t="s">
        <v>94</v>
      </c>
      <c r="H9" s="112" t="s">
        <v>95</v>
      </c>
      <c r="I9" s="203"/>
      <c r="J9" s="203"/>
      <c r="K9" s="196"/>
    </row>
    <row r="10" spans="1:11" ht="18.75">
      <c r="A10" s="52">
        <v>1</v>
      </c>
      <c r="B10" s="49" t="s">
        <v>30</v>
      </c>
      <c r="C10" s="53">
        <v>25</v>
      </c>
      <c r="D10" s="53">
        <v>37</v>
      </c>
      <c r="E10" s="53">
        <v>38</v>
      </c>
      <c r="F10" s="53">
        <v>54</v>
      </c>
      <c r="G10" s="53">
        <v>80</v>
      </c>
      <c r="H10" s="53">
        <v>57</v>
      </c>
      <c r="I10" s="53">
        <f>C10+D10+E10+F10+G10+H10</f>
        <v>291</v>
      </c>
      <c r="J10" s="53">
        <f>I10*25900</f>
        <v>7536900</v>
      </c>
      <c r="K10" s="50"/>
    </row>
    <row r="11" spans="1:11" ht="18.75">
      <c r="A11" s="52">
        <v>2</v>
      </c>
      <c r="B11" s="49" t="s">
        <v>59</v>
      </c>
      <c r="C11" s="53">
        <v>1</v>
      </c>
      <c r="D11" s="53">
        <v>30</v>
      </c>
      <c r="E11" s="53">
        <v>6</v>
      </c>
      <c r="F11" s="53">
        <v>15</v>
      </c>
      <c r="G11" s="53">
        <v>6</v>
      </c>
      <c r="H11" s="53"/>
      <c r="I11" s="53">
        <f>C11+D11+E11+F11+G11+H11</f>
        <v>58</v>
      </c>
      <c r="J11" s="53">
        <f>I11*25900</f>
        <v>1502200</v>
      </c>
      <c r="K11" s="50"/>
    </row>
    <row r="12" spans="1:11" ht="18.75">
      <c r="A12" s="52">
        <v>3</v>
      </c>
      <c r="B12" s="49" t="s">
        <v>64</v>
      </c>
      <c r="C12" s="53">
        <v>26</v>
      </c>
      <c r="D12" s="53">
        <v>67</v>
      </c>
      <c r="E12" s="53">
        <v>44</v>
      </c>
      <c r="F12" s="53">
        <v>69</v>
      </c>
      <c r="G12" s="53">
        <v>86</v>
      </c>
      <c r="H12" s="53">
        <v>57</v>
      </c>
      <c r="I12" s="53">
        <f>C12+D12+E12+F12+G12+H12</f>
        <v>349</v>
      </c>
      <c r="J12" s="48">
        <f>I12*18700</f>
        <v>6526300</v>
      </c>
      <c r="K12" s="50"/>
    </row>
    <row r="13" spans="1:11" ht="19.5" thickBot="1">
      <c r="A13" s="54">
        <v>4</v>
      </c>
      <c r="B13" s="46" t="s">
        <v>33</v>
      </c>
      <c r="C13" s="48">
        <v>26</v>
      </c>
      <c r="D13" s="48">
        <v>67</v>
      </c>
      <c r="E13" s="48">
        <v>44</v>
      </c>
      <c r="F13" s="48">
        <v>69</v>
      </c>
      <c r="G13" s="48">
        <v>86</v>
      </c>
      <c r="H13" s="53">
        <v>57</v>
      </c>
      <c r="I13" s="53">
        <f>C13+D13+E13+F13+G13+H13</f>
        <v>349</v>
      </c>
      <c r="J13" s="48">
        <f>I13*14300</f>
        <v>4990700</v>
      </c>
      <c r="K13" s="47"/>
    </row>
    <row r="14" spans="1:11" ht="19.5" thickBot="1">
      <c r="A14" s="55">
        <v>4</v>
      </c>
      <c r="B14" s="56" t="s">
        <v>3</v>
      </c>
      <c r="C14" s="57">
        <f aca="true" t="shared" si="0" ref="C14:J14">SUM(C10:C13)</f>
        <v>78</v>
      </c>
      <c r="D14" s="57">
        <f t="shared" si="0"/>
        <v>201</v>
      </c>
      <c r="E14" s="57">
        <f t="shared" si="0"/>
        <v>132</v>
      </c>
      <c r="F14" s="57">
        <f t="shared" si="0"/>
        <v>207</v>
      </c>
      <c r="G14" s="57">
        <f t="shared" si="0"/>
        <v>258</v>
      </c>
      <c r="H14" s="57">
        <f t="shared" si="0"/>
        <v>171</v>
      </c>
      <c r="I14" s="57">
        <f t="shared" si="0"/>
        <v>1047</v>
      </c>
      <c r="J14" s="57">
        <f t="shared" si="0"/>
        <v>20556100</v>
      </c>
      <c r="K14" s="58"/>
    </row>
    <row r="15" ht="19.5" thickTop="1"/>
    <row r="16" ht="18.75">
      <c r="A16" s="51" t="s">
        <v>104</v>
      </c>
    </row>
    <row r="17" ht="18.75">
      <c r="A17" s="45" t="s">
        <v>96</v>
      </c>
    </row>
    <row r="18" ht="18.75">
      <c r="A18" s="45" t="s">
        <v>97</v>
      </c>
    </row>
    <row r="19" ht="18.75">
      <c r="A19" s="45" t="s">
        <v>98</v>
      </c>
    </row>
    <row r="20" spans="7:11" ht="18.75">
      <c r="G20" s="197" t="s">
        <v>87</v>
      </c>
      <c r="H20" s="197"/>
      <c r="I20" s="197"/>
      <c r="J20" s="197"/>
      <c r="K20" s="197"/>
    </row>
    <row r="21" spans="1:11" ht="18.75">
      <c r="A21" s="51"/>
      <c r="B21" s="51" t="s">
        <v>88</v>
      </c>
      <c r="C21" s="51"/>
      <c r="D21" s="51"/>
      <c r="E21" s="51"/>
      <c r="F21" s="51"/>
      <c r="G21" s="153" t="s">
        <v>48</v>
      </c>
      <c r="H21" s="153"/>
      <c r="I21" s="153"/>
      <c r="J21" s="153"/>
      <c r="K21" s="153"/>
    </row>
    <row r="27" ht="18.75">
      <c r="I27" s="113"/>
    </row>
  </sheetData>
  <sheetProtection/>
  <mergeCells count="13">
    <mergeCell ref="C8:H8"/>
    <mergeCell ref="A1:D1"/>
    <mergeCell ref="A2:D2"/>
    <mergeCell ref="K8:K9"/>
    <mergeCell ref="G20:K20"/>
    <mergeCell ref="G21:K21"/>
    <mergeCell ref="A4:K4"/>
    <mergeCell ref="A5:K5"/>
    <mergeCell ref="A6:B6"/>
    <mergeCell ref="A8:A9"/>
    <mergeCell ref="B8:B9"/>
    <mergeCell ref="I8:I9"/>
    <mergeCell ref="J8:J9"/>
  </mergeCells>
  <printOptions/>
  <pageMargins left="0.32" right="0.2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zoomScalePageLayoutView="0" workbookViewId="0" topLeftCell="A10">
      <selection activeCell="B19" sqref="B19"/>
    </sheetView>
  </sheetViews>
  <sheetFormatPr defaultColWidth="9.140625" defaultRowHeight="15"/>
  <cols>
    <col min="1" max="1" width="7.28125" style="0" customWidth="1"/>
    <col min="2" max="2" width="25.421875" style="0" customWidth="1"/>
    <col min="3" max="3" width="7.421875" style="0" customWidth="1"/>
    <col min="4" max="4" width="8.57421875" style="0" customWidth="1"/>
    <col min="5" max="7" width="7.421875" style="0" customWidth="1"/>
    <col min="8" max="8" width="10.8515625" style="0" customWidth="1"/>
    <col min="9" max="9" width="18.140625" style="0" customWidth="1"/>
    <col min="10" max="10" width="1.8515625" style="0" hidden="1" customWidth="1"/>
    <col min="11" max="11" width="16.28125" style="0" customWidth="1"/>
    <col min="12" max="16" width="10.7109375" style="0" customWidth="1"/>
  </cols>
  <sheetData>
    <row r="1" spans="1:12" ht="18.75">
      <c r="A1" s="62" t="s">
        <v>47</v>
      </c>
      <c r="B1" s="62"/>
      <c r="C1" s="62"/>
      <c r="D1" s="45"/>
      <c r="E1" s="45"/>
      <c r="F1" s="45"/>
      <c r="G1" s="45"/>
      <c r="H1" s="45"/>
      <c r="I1" s="45"/>
      <c r="J1" s="45"/>
      <c r="K1" s="45"/>
      <c r="L1" s="45"/>
    </row>
    <row r="2" spans="1:12" ht="18.75">
      <c r="A2" s="62" t="s">
        <v>86</v>
      </c>
      <c r="B2" s="62"/>
      <c r="C2" s="62"/>
      <c r="D2" s="45"/>
      <c r="E2" s="45"/>
      <c r="F2" s="45"/>
      <c r="G2" s="45"/>
      <c r="H2" s="45"/>
      <c r="I2" s="45"/>
      <c r="J2" s="45"/>
      <c r="K2" s="45"/>
      <c r="L2" s="45"/>
    </row>
    <row r="3" spans="1:12" ht="50.25" customHeight="1">
      <c r="A3" s="211" t="s">
        <v>35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20.25" customHeight="1">
      <c r="A4" s="198" t="s">
        <v>99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ht="18.75">
      <c r="A5" s="199" t="s">
        <v>39</v>
      </c>
      <c r="B5" s="199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9.5" thickBot="1">
      <c r="A6" s="60"/>
      <c r="B6" s="60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59.25" customHeight="1" thickTop="1">
      <c r="A7" s="200" t="s">
        <v>0</v>
      </c>
      <c r="B7" s="202" t="s">
        <v>32</v>
      </c>
      <c r="C7" s="205" t="s">
        <v>40</v>
      </c>
      <c r="D7" s="206"/>
      <c r="E7" s="206"/>
      <c r="F7" s="206"/>
      <c r="G7" s="206"/>
      <c r="H7" s="207"/>
      <c r="I7" s="213" t="s">
        <v>106</v>
      </c>
      <c r="J7" s="204" t="s">
        <v>105</v>
      </c>
      <c r="K7" s="202" t="s">
        <v>1</v>
      </c>
      <c r="L7" s="195" t="s">
        <v>34</v>
      </c>
    </row>
    <row r="8" spans="1:12" ht="51" customHeight="1">
      <c r="A8" s="201"/>
      <c r="B8" s="203"/>
      <c r="C8" s="112" t="s">
        <v>90</v>
      </c>
      <c r="D8" s="209" t="s">
        <v>100</v>
      </c>
      <c r="E8" s="210"/>
      <c r="F8" s="112" t="s">
        <v>93</v>
      </c>
      <c r="G8" s="112" t="s">
        <v>94</v>
      </c>
      <c r="H8" s="59" t="s">
        <v>95</v>
      </c>
      <c r="I8" s="214"/>
      <c r="J8" s="203"/>
      <c r="K8" s="203"/>
      <c r="L8" s="196"/>
    </row>
    <row r="9" spans="1:12" ht="18.75">
      <c r="A9" s="52">
        <v>1</v>
      </c>
      <c r="B9" s="49" t="s">
        <v>37</v>
      </c>
      <c r="C9" s="53"/>
      <c r="D9" s="53"/>
      <c r="E9" s="53"/>
      <c r="F9" s="53"/>
      <c r="G9" s="53"/>
      <c r="H9" s="53">
        <v>7</v>
      </c>
      <c r="I9" s="53">
        <v>1</v>
      </c>
      <c r="J9" s="53">
        <f>SUM(C9:H9)</f>
        <v>7</v>
      </c>
      <c r="K9" s="53">
        <f>J9*11200+I9*8400</f>
        <v>86800</v>
      </c>
      <c r="L9" s="50"/>
    </row>
    <row r="10" spans="1:12" ht="18.75">
      <c r="A10" s="54">
        <v>2</v>
      </c>
      <c r="B10" s="46" t="s">
        <v>44</v>
      </c>
      <c r="C10" s="48"/>
      <c r="D10" s="48">
        <v>4</v>
      </c>
      <c r="E10" s="48"/>
      <c r="F10" s="48">
        <v>3</v>
      </c>
      <c r="G10" s="48"/>
      <c r="H10" s="53"/>
      <c r="I10" s="53"/>
      <c r="J10" s="53">
        <f>SUM(C10:H10)</f>
        <v>7</v>
      </c>
      <c r="K10" s="53">
        <f>J10*11200</f>
        <v>78400</v>
      </c>
      <c r="L10" s="47"/>
    </row>
    <row r="11" spans="1:12" ht="18.75">
      <c r="A11" s="54">
        <v>3</v>
      </c>
      <c r="B11" s="46" t="s">
        <v>38</v>
      </c>
      <c r="C11" s="48"/>
      <c r="D11" s="48">
        <v>4</v>
      </c>
      <c r="E11" s="48"/>
      <c r="F11" s="48">
        <v>3</v>
      </c>
      <c r="G11" s="48"/>
      <c r="H11" s="53">
        <v>7</v>
      </c>
      <c r="I11" s="53">
        <v>1</v>
      </c>
      <c r="J11" s="53">
        <f>SUM(C11:H11)</f>
        <v>14</v>
      </c>
      <c r="K11" s="48">
        <f>J11*8300+I11*5000</f>
        <v>121200</v>
      </c>
      <c r="L11" s="47"/>
    </row>
    <row r="12" spans="1:12" ht="19.5" thickBot="1">
      <c r="A12" s="54">
        <v>4</v>
      </c>
      <c r="B12" s="46" t="s">
        <v>45</v>
      </c>
      <c r="C12" s="48"/>
      <c r="D12" s="48">
        <v>4</v>
      </c>
      <c r="E12" s="48"/>
      <c r="F12" s="48">
        <v>3</v>
      </c>
      <c r="G12" s="48"/>
      <c r="H12" s="53">
        <v>7</v>
      </c>
      <c r="I12" s="53">
        <v>1</v>
      </c>
      <c r="J12" s="53">
        <f>SUM(C12:H12)</f>
        <v>14</v>
      </c>
      <c r="K12" s="48">
        <f>J12*5000+I12*2500</f>
        <v>72500</v>
      </c>
      <c r="L12" s="47"/>
    </row>
    <row r="13" spans="1:12" ht="19.5" thickBot="1">
      <c r="A13" s="55">
        <v>4</v>
      </c>
      <c r="B13" s="56" t="s">
        <v>3</v>
      </c>
      <c r="C13" s="57">
        <f>SUM(C9:C12)</f>
        <v>0</v>
      </c>
      <c r="D13" s="57">
        <f>SUM(D9:D12)</f>
        <v>12</v>
      </c>
      <c r="E13" s="57">
        <f>SUM(E9:E12)</f>
        <v>0</v>
      </c>
      <c r="F13" s="57"/>
      <c r="G13" s="57"/>
      <c r="H13" s="57"/>
      <c r="I13" s="57"/>
      <c r="J13" s="57">
        <f>SUM(J9:J12)</f>
        <v>42</v>
      </c>
      <c r="K13" s="57">
        <f>SUM(K9:K12)</f>
        <v>358900</v>
      </c>
      <c r="L13" s="58"/>
    </row>
    <row r="14" spans="1:12" ht="19.5" thickTop="1">
      <c r="A14" s="118"/>
      <c r="B14" s="119"/>
      <c r="C14" s="117"/>
      <c r="D14" s="117"/>
      <c r="E14" s="117"/>
      <c r="F14" s="117"/>
      <c r="G14" s="117"/>
      <c r="H14" s="117"/>
      <c r="I14" s="117"/>
      <c r="J14" s="117"/>
      <c r="K14" s="117"/>
      <c r="L14" s="116"/>
    </row>
    <row r="15" spans="1:12" ht="18.75">
      <c r="A15" s="199" t="s">
        <v>104</v>
      </c>
      <c r="B15" s="199"/>
      <c r="C15" s="117"/>
      <c r="D15" s="117"/>
      <c r="E15" s="117"/>
      <c r="F15" s="117"/>
      <c r="G15" s="117"/>
      <c r="H15" s="117"/>
      <c r="I15" s="117"/>
      <c r="J15" s="117"/>
      <c r="K15" s="117"/>
      <c r="L15" s="116"/>
    </row>
    <row r="16" spans="1:12" ht="18.75">
      <c r="A16" s="51" t="s">
        <v>108</v>
      </c>
      <c r="B16" s="45"/>
      <c r="C16" s="51" t="s">
        <v>101</v>
      </c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18.75">
      <c r="A17" s="45" t="s">
        <v>41</v>
      </c>
      <c r="B17" s="45"/>
      <c r="C17" s="45" t="s">
        <v>102</v>
      </c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18.75">
      <c r="A18" s="45" t="s">
        <v>42</v>
      </c>
      <c r="B18" s="45"/>
      <c r="C18" s="45" t="s">
        <v>109</v>
      </c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8.75">
      <c r="A19" s="45" t="s">
        <v>43</v>
      </c>
      <c r="B19" s="45"/>
      <c r="C19" s="45" t="s">
        <v>103</v>
      </c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18.75">
      <c r="A20" s="45"/>
      <c r="B20" s="45"/>
      <c r="C20" s="45"/>
      <c r="D20" s="45"/>
      <c r="E20" s="45"/>
      <c r="F20" s="45"/>
      <c r="G20" s="197" t="s">
        <v>87</v>
      </c>
      <c r="H20" s="197"/>
      <c r="I20" s="197"/>
      <c r="J20" s="197"/>
      <c r="K20" s="197"/>
      <c r="L20" s="197"/>
    </row>
    <row r="21" spans="1:12" ht="18.75">
      <c r="A21" s="51"/>
      <c r="B21" s="51" t="s">
        <v>88</v>
      </c>
      <c r="C21" s="51"/>
      <c r="D21" s="51"/>
      <c r="E21" s="51"/>
      <c r="F21" s="51"/>
      <c r="G21" s="153" t="s">
        <v>48</v>
      </c>
      <c r="H21" s="153"/>
      <c r="I21" s="153"/>
      <c r="J21" s="153"/>
      <c r="K21" s="153"/>
      <c r="L21" s="153"/>
    </row>
  </sheetData>
  <sheetProtection/>
  <mergeCells count="14">
    <mergeCell ref="A3:L3"/>
    <mergeCell ref="A4:L4"/>
    <mergeCell ref="A5:B5"/>
    <mergeCell ref="A15:B15"/>
    <mergeCell ref="I7:I8"/>
    <mergeCell ref="G20:L20"/>
    <mergeCell ref="G21:L21"/>
    <mergeCell ref="C7:H7"/>
    <mergeCell ref="D8:E8"/>
    <mergeCell ref="A7:A8"/>
    <mergeCell ref="B7:B8"/>
    <mergeCell ref="J7:J8"/>
    <mergeCell ref="K7:K8"/>
    <mergeCell ref="L7:L8"/>
  </mergeCells>
  <printOptions/>
  <pageMargins left="0.43" right="0.25" top="0.75" bottom="0.75" header="0.29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zoomScale="70" zoomScaleNormal="70" zoomScalePageLayoutView="0" workbookViewId="0" topLeftCell="A25">
      <selection activeCell="B10" sqref="B10:B35"/>
    </sheetView>
  </sheetViews>
  <sheetFormatPr defaultColWidth="9.140625" defaultRowHeight="15"/>
  <cols>
    <col min="1" max="1" width="9.57421875" style="45" customWidth="1"/>
    <col min="2" max="2" width="27.57421875" style="45" customWidth="1"/>
    <col min="3" max="3" width="10.140625" style="45" customWidth="1"/>
    <col min="4" max="4" width="11.8515625" style="45" customWidth="1"/>
    <col min="5" max="5" width="13.00390625" style="45" customWidth="1"/>
    <col min="6" max="6" width="13.8515625" style="45" customWidth="1"/>
    <col min="7" max="7" width="15.140625" style="45" customWidth="1"/>
    <col min="8" max="8" width="14.421875" style="45" customWidth="1"/>
    <col min="9" max="9" width="13.57421875" style="45" customWidth="1"/>
    <col min="10" max="10" width="13.7109375" style="45" customWidth="1"/>
    <col min="11" max="11" width="13.57421875" style="45" customWidth="1"/>
    <col min="12" max="12" width="15.00390625" style="45" customWidth="1"/>
    <col min="13" max="13" width="17.28125" style="45" customWidth="1"/>
    <col min="14" max="14" width="15.8515625" style="45" customWidth="1"/>
  </cols>
  <sheetData>
    <row r="1" spans="1:4" ht="18.75">
      <c r="A1" s="208" t="s">
        <v>47</v>
      </c>
      <c r="B1" s="208"/>
      <c r="C1" s="208"/>
      <c r="D1" s="208"/>
    </row>
    <row r="2" spans="1:4" ht="18.75">
      <c r="A2" s="208" t="s">
        <v>107</v>
      </c>
      <c r="B2" s="208"/>
      <c r="C2" s="208"/>
      <c r="D2" s="208"/>
    </row>
    <row r="3" spans="1:14" ht="20.25">
      <c r="A3" s="121"/>
      <c r="B3" s="121"/>
      <c r="C3" s="121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48.75" customHeight="1">
      <c r="A4" s="211" t="s">
        <v>35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ht="20.25">
      <c r="A5" s="211" t="s">
        <v>99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2" ht="18.75">
      <c r="A6" s="199" t="s">
        <v>70</v>
      </c>
      <c r="B6" s="199"/>
    </row>
    <row r="7" spans="1:2" ht="19.5" thickBot="1">
      <c r="A7" s="60"/>
      <c r="B7" s="60"/>
    </row>
    <row r="8" spans="1:14" ht="24" customHeight="1" thickTop="1">
      <c r="A8" s="200" t="s">
        <v>0</v>
      </c>
      <c r="B8" s="202" t="s">
        <v>32</v>
      </c>
      <c r="C8" s="205" t="s">
        <v>111</v>
      </c>
      <c r="D8" s="206"/>
      <c r="E8" s="206"/>
      <c r="F8" s="206"/>
      <c r="G8" s="206"/>
      <c r="H8" s="114"/>
      <c r="I8" s="216" t="s">
        <v>116</v>
      </c>
      <c r="J8" s="217"/>
      <c r="K8" s="218"/>
      <c r="L8" s="204" t="s">
        <v>105</v>
      </c>
      <c r="M8" s="202" t="s">
        <v>1</v>
      </c>
      <c r="N8" s="195" t="s">
        <v>34</v>
      </c>
    </row>
    <row r="9" spans="1:14" ht="24" customHeight="1">
      <c r="A9" s="201"/>
      <c r="B9" s="203"/>
      <c r="C9" s="112" t="s">
        <v>90</v>
      </c>
      <c r="D9" s="112" t="s">
        <v>91</v>
      </c>
      <c r="E9" s="112" t="s">
        <v>92</v>
      </c>
      <c r="F9" s="112" t="s">
        <v>93</v>
      </c>
      <c r="G9" s="112" t="s">
        <v>94</v>
      </c>
      <c r="H9" s="120" t="s">
        <v>95</v>
      </c>
      <c r="I9" s="120" t="s">
        <v>91</v>
      </c>
      <c r="J9" s="120" t="s">
        <v>94</v>
      </c>
      <c r="K9" s="120" t="s">
        <v>95</v>
      </c>
      <c r="L9" s="203"/>
      <c r="M9" s="203"/>
      <c r="N9" s="196"/>
    </row>
    <row r="10" spans="1:14" ht="24" customHeight="1">
      <c r="A10" s="52">
        <v>1</v>
      </c>
      <c r="B10" s="49" t="s">
        <v>54</v>
      </c>
      <c r="C10" s="53">
        <v>12</v>
      </c>
      <c r="D10" s="53">
        <v>4</v>
      </c>
      <c r="E10" s="53">
        <v>5</v>
      </c>
      <c r="F10" s="53">
        <f>1+19</f>
        <v>20</v>
      </c>
      <c r="G10" s="53">
        <v>3</v>
      </c>
      <c r="H10" s="53">
        <f>1+11</f>
        <v>12</v>
      </c>
      <c r="I10" s="53"/>
      <c r="J10" s="53"/>
      <c r="K10" s="53"/>
      <c r="L10" s="53">
        <f>C10+D10+E10+F10+G10+K10+I10+H10</f>
        <v>56</v>
      </c>
      <c r="M10" s="53">
        <f>L10*8400</f>
        <v>470400</v>
      </c>
      <c r="N10" s="50"/>
    </row>
    <row r="11" spans="1:14" ht="24" customHeight="1">
      <c r="A11" s="52">
        <v>2</v>
      </c>
      <c r="B11" s="49" t="s">
        <v>56</v>
      </c>
      <c r="C11" s="53">
        <f>10+2</f>
        <v>12</v>
      </c>
      <c r="D11" s="53">
        <f>5+7</f>
        <v>12</v>
      </c>
      <c r="E11" s="53">
        <f>1+3</f>
        <v>4</v>
      </c>
      <c r="F11" s="53">
        <f>2+3</f>
        <v>5</v>
      </c>
      <c r="G11" s="53">
        <f>2+2</f>
        <v>4</v>
      </c>
      <c r="H11" s="53">
        <f>4+1</f>
        <v>5</v>
      </c>
      <c r="I11" s="53"/>
      <c r="J11" s="53"/>
      <c r="K11" s="53"/>
      <c r="L11" s="53">
        <f>C11+D11+E11+F11+G11+K11+I11+H11</f>
        <v>42</v>
      </c>
      <c r="M11" s="53">
        <f aca="true" t="shared" si="0" ref="M11:M21">L11*8400</f>
        <v>352800</v>
      </c>
      <c r="N11" s="50"/>
    </row>
    <row r="12" spans="1:14" ht="24" customHeight="1">
      <c r="A12" s="52">
        <v>3</v>
      </c>
      <c r="B12" s="49" t="s">
        <v>58</v>
      </c>
      <c r="C12" s="53">
        <v>2</v>
      </c>
      <c r="D12" s="53">
        <v>6</v>
      </c>
      <c r="E12" s="53">
        <v>5</v>
      </c>
      <c r="F12" s="53">
        <v>2</v>
      </c>
      <c r="G12" s="53">
        <v>6</v>
      </c>
      <c r="H12" s="53">
        <v>5</v>
      </c>
      <c r="I12" s="53"/>
      <c r="J12" s="53"/>
      <c r="K12" s="53"/>
      <c r="L12" s="53">
        <f>C12+D12+E12+F12+G12+K12+I12+H12</f>
        <v>26</v>
      </c>
      <c r="M12" s="53">
        <f t="shared" si="0"/>
        <v>218400</v>
      </c>
      <c r="N12" s="50"/>
    </row>
    <row r="13" spans="1:14" ht="24" customHeight="1">
      <c r="A13" s="52">
        <v>4</v>
      </c>
      <c r="B13" s="49" t="s">
        <v>50</v>
      </c>
      <c r="C13" s="53">
        <v>16</v>
      </c>
      <c r="D13" s="53">
        <v>23</v>
      </c>
      <c r="E13" s="53">
        <v>13</v>
      </c>
      <c r="F13" s="53">
        <v>24</v>
      </c>
      <c r="G13" s="53">
        <v>19</v>
      </c>
      <c r="H13" s="53">
        <v>11</v>
      </c>
      <c r="I13" s="53"/>
      <c r="J13" s="53"/>
      <c r="K13" s="53"/>
      <c r="L13" s="53">
        <f>C13+D13+E13+F13+G13+K13+I13+H13</f>
        <v>106</v>
      </c>
      <c r="M13" s="53">
        <f t="shared" si="0"/>
        <v>890400</v>
      </c>
      <c r="N13" s="50"/>
    </row>
    <row r="14" spans="1:14" ht="24" customHeight="1">
      <c r="A14" s="52">
        <v>5</v>
      </c>
      <c r="B14" s="49" t="s">
        <v>37</v>
      </c>
      <c r="C14" s="53"/>
      <c r="D14" s="53"/>
      <c r="E14" s="53"/>
      <c r="F14" s="53"/>
      <c r="G14" s="53"/>
      <c r="H14" s="53"/>
      <c r="I14" s="53"/>
      <c r="J14" s="53"/>
      <c r="K14" s="53">
        <v>1</v>
      </c>
      <c r="L14" s="53">
        <v>1</v>
      </c>
      <c r="M14" s="53">
        <f>L14*25900</f>
        <v>25900</v>
      </c>
      <c r="N14" s="50"/>
    </row>
    <row r="15" spans="1:14" ht="24" customHeight="1">
      <c r="A15" s="52">
        <v>6</v>
      </c>
      <c r="B15" s="49" t="s">
        <v>114</v>
      </c>
      <c r="C15" s="53"/>
      <c r="D15" s="53"/>
      <c r="E15" s="53"/>
      <c r="F15" s="53"/>
      <c r="G15" s="53"/>
      <c r="H15" s="53"/>
      <c r="I15" s="53">
        <v>1</v>
      </c>
      <c r="J15" s="53"/>
      <c r="K15" s="53"/>
      <c r="L15" s="53">
        <f>C15+D15+E15+F15+G15+K15+I15</f>
        <v>1</v>
      </c>
      <c r="M15" s="53">
        <f>L15*25900</f>
        <v>25900</v>
      </c>
      <c r="N15" s="50"/>
    </row>
    <row r="16" spans="1:14" ht="24" customHeight="1">
      <c r="A16" s="52">
        <v>7</v>
      </c>
      <c r="B16" s="49" t="s">
        <v>55</v>
      </c>
      <c r="C16" s="53"/>
      <c r="D16" s="53"/>
      <c r="E16" s="53"/>
      <c r="F16" s="53"/>
      <c r="G16" s="53"/>
      <c r="H16" s="53"/>
      <c r="I16" s="53">
        <v>1</v>
      </c>
      <c r="J16" s="53"/>
      <c r="K16" s="53"/>
      <c r="L16" s="53">
        <f>C16+D16+E16+F16+G16+K16+I16</f>
        <v>1</v>
      </c>
      <c r="M16" s="53">
        <f>L16*25900</f>
        <v>25900</v>
      </c>
      <c r="N16" s="50"/>
    </row>
    <row r="17" spans="1:14" ht="24" customHeight="1">
      <c r="A17" s="52">
        <v>8</v>
      </c>
      <c r="B17" s="49" t="s">
        <v>49</v>
      </c>
      <c r="C17" s="53"/>
      <c r="D17" s="53"/>
      <c r="E17" s="53"/>
      <c r="F17" s="53"/>
      <c r="G17" s="53"/>
      <c r="H17" s="53"/>
      <c r="I17" s="53"/>
      <c r="J17" s="53">
        <v>1</v>
      </c>
      <c r="K17" s="53"/>
      <c r="L17" s="53">
        <v>1</v>
      </c>
      <c r="M17" s="53">
        <f>J17*25900</f>
        <v>25900</v>
      </c>
      <c r="N17" s="50"/>
    </row>
    <row r="18" spans="1:14" ht="24" customHeight="1">
      <c r="A18" s="52">
        <v>9</v>
      </c>
      <c r="B18" s="49" t="s">
        <v>57</v>
      </c>
      <c r="C18" s="53">
        <v>1</v>
      </c>
      <c r="D18" s="53"/>
      <c r="E18" s="53"/>
      <c r="F18" s="53"/>
      <c r="G18" s="53"/>
      <c r="H18" s="53"/>
      <c r="I18" s="53"/>
      <c r="J18" s="53"/>
      <c r="K18" s="53"/>
      <c r="L18" s="53">
        <f>C18+D18+E18+F18+G18+K18+I18</f>
        <v>1</v>
      </c>
      <c r="M18" s="53">
        <f t="shared" si="0"/>
        <v>8400</v>
      </c>
      <c r="N18" s="50"/>
    </row>
    <row r="19" spans="1:14" ht="24" customHeight="1">
      <c r="A19" s="52">
        <v>10</v>
      </c>
      <c r="B19" s="49" t="s">
        <v>51</v>
      </c>
      <c r="C19" s="53">
        <v>1</v>
      </c>
      <c r="D19" s="53">
        <v>2</v>
      </c>
      <c r="E19" s="53"/>
      <c r="F19" s="53">
        <v>1</v>
      </c>
      <c r="G19" s="53"/>
      <c r="H19" s="53"/>
      <c r="I19" s="53"/>
      <c r="J19" s="53"/>
      <c r="K19" s="53"/>
      <c r="L19" s="53">
        <f>C19+D19+E19+F19+G19+K19+I19</f>
        <v>4</v>
      </c>
      <c r="M19" s="53">
        <f t="shared" si="0"/>
        <v>33600</v>
      </c>
      <c r="N19" s="50"/>
    </row>
    <row r="20" spans="1:14" ht="24" customHeight="1">
      <c r="A20" s="52">
        <v>11</v>
      </c>
      <c r="B20" s="49" t="s">
        <v>53</v>
      </c>
      <c r="C20" s="53"/>
      <c r="D20" s="53"/>
      <c r="E20" s="53"/>
      <c r="F20" s="53">
        <v>1</v>
      </c>
      <c r="G20" s="53"/>
      <c r="H20" s="53">
        <v>1</v>
      </c>
      <c r="I20" s="53"/>
      <c r="J20" s="53"/>
      <c r="K20" s="53">
        <v>1</v>
      </c>
      <c r="L20" s="53">
        <f>H20+K20+F20</f>
        <v>3</v>
      </c>
      <c r="M20" s="53">
        <f>(H20+F20)*8400+K20*25900</f>
        <v>42700</v>
      </c>
      <c r="N20" s="50"/>
    </row>
    <row r="21" spans="1:14" ht="24" customHeight="1">
      <c r="A21" s="52">
        <v>12</v>
      </c>
      <c r="B21" s="49" t="s">
        <v>52</v>
      </c>
      <c r="C21" s="53"/>
      <c r="D21" s="53"/>
      <c r="E21" s="53"/>
      <c r="F21" s="53">
        <v>1</v>
      </c>
      <c r="G21" s="53"/>
      <c r="H21" s="53"/>
      <c r="I21" s="53"/>
      <c r="J21" s="53"/>
      <c r="K21" s="53"/>
      <c r="L21" s="53">
        <f>C21+D21+E21+F21+G21+K21+I21</f>
        <v>1</v>
      </c>
      <c r="M21" s="53">
        <f t="shared" si="0"/>
        <v>8400</v>
      </c>
      <c r="N21" s="50"/>
    </row>
    <row r="22" spans="1:14" ht="24" customHeight="1">
      <c r="A22" s="52">
        <v>13</v>
      </c>
      <c r="B22" s="49" t="s">
        <v>64</v>
      </c>
      <c r="C22" s="53">
        <v>10</v>
      </c>
      <c r="D22" s="53"/>
      <c r="E22" s="53"/>
      <c r="F22" s="53"/>
      <c r="G22" s="53"/>
      <c r="H22" s="53"/>
      <c r="I22" s="53"/>
      <c r="J22" s="53"/>
      <c r="K22" s="53"/>
      <c r="L22" s="53">
        <f>C22+D22+E22+F22+G22+K22+I22</f>
        <v>10</v>
      </c>
      <c r="M22" s="53">
        <f>L22*5000</f>
        <v>50000</v>
      </c>
      <c r="N22" s="50"/>
    </row>
    <row r="23" spans="1:14" ht="24" customHeight="1">
      <c r="A23" s="52">
        <v>14</v>
      </c>
      <c r="B23" s="49" t="s">
        <v>74</v>
      </c>
      <c r="C23" s="53">
        <v>9</v>
      </c>
      <c r="D23" s="53"/>
      <c r="E23" s="53">
        <v>9</v>
      </c>
      <c r="F23" s="53"/>
      <c r="G23" s="53"/>
      <c r="H23" s="53">
        <f>2+17</f>
        <v>19</v>
      </c>
      <c r="I23" s="53"/>
      <c r="J23" s="53"/>
      <c r="K23" s="53"/>
      <c r="L23" s="53">
        <f>C23+D23+E23+F23+G23+K23+I23+H23</f>
        <v>37</v>
      </c>
      <c r="M23" s="53">
        <f>(C23+E23+2)*5000+17*2500</f>
        <v>142500</v>
      </c>
      <c r="N23" s="50"/>
    </row>
    <row r="24" spans="1:14" ht="24" customHeight="1">
      <c r="A24" s="52">
        <v>15</v>
      </c>
      <c r="B24" s="49" t="s">
        <v>61</v>
      </c>
      <c r="C24" s="53">
        <v>1</v>
      </c>
      <c r="D24" s="53"/>
      <c r="E24" s="53"/>
      <c r="F24" s="53">
        <v>1</v>
      </c>
      <c r="G24" s="53"/>
      <c r="H24" s="53"/>
      <c r="I24" s="53"/>
      <c r="J24" s="53"/>
      <c r="K24" s="53"/>
      <c r="L24" s="53">
        <f>C24+D24+E24+F24+G24+K24+I24</f>
        <v>2</v>
      </c>
      <c r="M24" s="53">
        <f>L24*5000</f>
        <v>10000</v>
      </c>
      <c r="N24" s="50"/>
    </row>
    <row r="25" spans="1:14" ht="24" customHeight="1">
      <c r="A25" s="52">
        <v>16</v>
      </c>
      <c r="B25" s="49" t="s">
        <v>67</v>
      </c>
      <c r="C25" s="53">
        <v>22</v>
      </c>
      <c r="D25" s="53"/>
      <c r="E25" s="53"/>
      <c r="F25" s="53"/>
      <c r="G25" s="53">
        <v>21</v>
      </c>
      <c r="H25" s="53">
        <v>3</v>
      </c>
      <c r="I25" s="53">
        <v>1</v>
      </c>
      <c r="J25" s="53">
        <v>1</v>
      </c>
      <c r="K25" s="53">
        <v>1</v>
      </c>
      <c r="L25" s="53">
        <f>SUM(C25:H25)</f>
        <v>46</v>
      </c>
      <c r="M25" s="53">
        <f>(H25+C25)*5000+I25*18700+G25*2500+J25*14300+K25*18700</f>
        <v>229200</v>
      </c>
      <c r="N25" s="50"/>
    </row>
    <row r="26" spans="1:14" ht="24" customHeight="1">
      <c r="A26" s="52">
        <v>17</v>
      </c>
      <c r="B26" s="49" t="s">
        <v>112</v>
      </c>
      <c r="C26" s="53">
        <v>10</v>
      </c>
      <c r="D26" s="53"/>
      <c r="E26" s="53"/>
      <c r="F26" s="53">
        <v>11</v>
      </c>
      <c r="G26" s="53"/>
      <c r="H26" s="53">
        <v>8</v>
      </c>
      <c r="I26" s="53"/>
      <c r="J26" s="53"/>
      <c r="K26" s="53">
        <v>1</v>
      </c>
      <c r="L26" s="53">
        <f>C26+D26+E26+F26+G26+K26+I26+H26</f>
        <v>30</v>
      </c>
      <c r="M26" s="53">
        <f>(C26+F26)*5000+K26*14300+H26*2500</f>
        <v>139300</v>
      </c>
      <c r="N26" s="50"/>
    </row>
    <row r="27" spans="1:14" ht="24" customHeight="1">
      <c r="A27" s="52">
        <v>18</v>
      </c>
      <c r="B27" s="49" t="s">
        <v>60</v>
      </c>
      <c r="C27" s="53"/>
      <c r="D27" s="53"/>
      <c r="E27" s="53"/>
      <c r="F27" s="53"/>
      <c r="G27" s="53">
        <v>15</v>
      </c>
      <c r="H27" s="53">
        <v>11</v>
      </c>
      <c r="I27" s="53"/>
      <c r="J27" s="53">
        <v>1</v>
      </c>
      <c r="K27" s="53"/>
      <c r="L27" s="53">
        <f>C27+D27+E27+F27+G27+K27+I27+H27+J27</f>
        <v>27</v>
      </c>
      <c r="M27" s="53">
        <f>(G27+H27)*5000+J27*18700</f>
        <v>148700</v>
      </c>
      <c r="N27" s="50"/>
    </row>
    <row r="28" spans="1:14" ht="24" customHeight="1">
      <c r="A28" s="52">
        <v>19</v>
      </c>
      <c r="B28" s="49" t="s">
        <v>113</v>
      </c>
      <c r="C28" s="53"/>
      <c r="D28" s="53"/>
      <c r="E28" s="53"/>
      <c r="F28" s="53"/>
      <c r="G28" s="53"/>
      <c r="H28" s="53"/>
      <c r="I28" s="53">
        <v>1</v>
      </c>
      <c r="J28" s="53"/>
      <c r="K28" s="53"/>
      <c r="L28" s="53">
        <f>C28+D28+E28+F28+G28+K28+I28</f>
        <v>1</v>
      </c>
      <c r="M28" s="53">
        <f>L28*18700</f>
        <v>18700</v>
      </c>
      <c r="N28" s="50"/>
    </row>
    <row r="29" spans="1:14" ht="24" customHeight="1">
      <c r="A29" s="52">
        <v>20</v>
      </c>
      <c r="B29" s="49" t="s">
        <v>115</v>
      </c>
      <c r="C29" s="53"/>
      <c r="D29" s="53"/>
      <c r="E29" s="53">
        <v>7</v>
      </c>
      <c r="F29" s="53">
        <v>10</v>
      </c>
      <c r="G29" s="53">
        <v>6</v>
      </c>
      <c r="H29" s="53">
        <v>9</v>
      </c>
      <c r="I29" s="53"/>
      <c r="J29" s="53"/>
      <c r="K29" s="53">
        <v>1</v>
      </c>
      <c r="L29" s="53">
        <f>C29+D29+E29+F29+G29+K29+I29+H29</f>
        <v>33</v>
      </c>
      <c r="M29" s="53">
        <f>(E29+F29+G29)*5000+K29*14300+H29*2500</f>
        <v>151800</v>
      </c>
      <c r="N29" s="50"/>
    </row>
    <row r="30" spans="1:14" ht="24" customHeight="1">
      <c r="A30" s="52">
        <v>21</v>
      </c>
      <c r="B30" s="49" t="s">
        <v>69</v>
      </c>
      <c r="C30" s="53">
        <v>14</v>
      </c>
      <c r="D30" s="53">
        <v>11</v>
      </c>
      <c r="E30" s="53">
        <v>4</v>
      </c>
      <c r="F30" s="53">
        <v>21</v>
      </c>
      <c r="G30" s="53">
        <v>6</v>
      </c>
      <c r="H30" s="53">
        <v>2</v>
      </c>
      <c r="I30" s="53"/>
      <c r="J30" s="53"/>
      <c r="K30" s="53"/>
      <c r="L30" s="53">
        <f>C30+D30+E30+F30+G30+K30+I30+H30</f>
        <v>58</v>
      </c>
      <c r="M30" s="53">
        <f>L30*5000</f>
        <v>290000</v>
      </c>
      <c r="N30" s="50"/>
    </row>
    <row r="31" spans="1:14" ht="24" customHeight="1">
      <c r="A31" s="52">
        <v>22</v>
      </c>
      <c r="B31" s="49" t="s">
        <v>62</v>
      </c>
      <c r="C31" s="53">
        <v>10</v>
      </c>
      <c r="D31" s="53">
        <v>4</v>
      </c>
      <c r="E31" s="53">
        <v>7</v>
      </c>
      <c r="F31" s="53">
        <f>8+3</f>
        <v>11</v>
      </c>
      <c r="G31" s="53">
        <v>5</v>
      </c>
      <c r="H31" s="53">
        <f>1+15</f>
        <v>16</v>
      </c>
      <c r="I31" s="53"/>
      <c r="J31" s="53"/>
      <c r="K31" s="53">
        <v>1</v>
      </c>
      <c r="L31" s="53">
        <f>C31+D31+E31+F31+G31+K31+I31+H31</f>
        <v>54</v>
      </c>
      <c r="M31" s="53">
        <f>(C31+D31+E31+F31+G31+H31)*5000+K31*18700</f>
        <v>283700</v>
      </c>
      <c r="N31" s="50"/>
    </row>
    <row r="32" spans="1:14" ht="24" customHeight="1">
      <c r="A32" s="54">
        <v>23</v>
      </c>
      <c r="B32" s="46" t="s">
        <v>66</v>
      </c>
      <c r="C32" s="48">
        <f>24+19</f>
        <v>43</v>
      </c>
      <c r="D32" s="48">
        <f>15+32</f>
        <v>47</v>
      </c>
      <c r="E32" s="48">
        <f>11+16</f>
        <v>27</v>
      </c>
      <c r="F32" s="48">
        <f>20+16</f>
        <v>36</v>
      </c>
      <c r="G32" s="48"/>
      <c r="H32" s="48"/>
      <c r="I32" s="48">
        <v>1</v>
      </c>
      <c r="J32" s="48"/>
      <c r="K32" s="48"/>
      <c r="L32" s="48">
        <f>C32+D32+E32+F32+G32+K32</f>
        <v>153</v>
      </c>
      <c r="M32" s="48">
        <f>L32*2500+I32*14300</f>
        <v>396800</v>
      </c>
      <c r="N32" s="47"/>
    </row>
    <row r="33" spans="1:14" ht="24" customHeight="1">
      <c r="A33" s="52">
        <v>24</v>
      </c>
      <c r="B33" s="49" t="s">
        <v>71</v>
      </c>
      <c r="C33" s="53">
        <v>1</v>
      </c>
      <c r="D33" s="53"/>
      <c r="E33" s="53"/>
      <c r="F33" s="53"/>
      <c r="G33" s="53"/>
      <c r="H33" s="53"/>
      <c r="I33" s="53"/>
      <c r="J33" s="53"/>
      <c r="K33" s="53"/>
      <c r="L33" s="53">
        <f>C33+D33+E33+F33+G33+K33+I33</f>
        <v>1</v>
      </c>
      <c r="M33" s="53">
        <f>L33*2500</f>
        <v>2500</v>
      </c>
      <c r="N33" s="50"/>
    </row>
    <row r="34" spans="1:14" ht="24" customHeight="1">
      <c r="A34" s="52">
        <v>25</v>
      </c>
      <c r="B34" s="49" t="s">
        <v>68</v>
      </c>
      <c r="C34" s="53"/>
      <c r="D34" s="53"/>
      <c r="E34" s="53"/>
      <c r="F34" s="53">
        <f>10+8</f>
        <v>18</v>
      </c>
      <c r="G34" s="53"/>
      <c r="H34" s="53"/>
      <c r="I34" s="53">
        <v>1</v>
      </c>
      <c r="J34" s="53"/>
      <c r="K34" s="53"/>
      <c r="L34" s="53">
        <f>C34+D34+E34+F34+G34+K34+I34</f>
        <v>19</v>
      </c>
      <c r="M34" s="53">
        <f>I34*14300+F34*2500</f>
        <v>59300</v>
      </c>
      <c r="N34" s="50"/>
    </row>
    <row r="35" spans="1:14" ht="24" customHeight="1" thickBot="1">
      <c r="A35" s="123">
        <v>26</v>
      </c>
      <c r="B35" s="124" t="s">
        <v>65</v>
      </c>
      <c r="C35" s="125"/>
      <c r="D35" s="125"/>
      <c r="E35" s="125"/>
      <c r="F35" s="125"/>
      <c r="G35" s="125">
        <v>11</v>
      </c>
      <c r="H35" s="125"/>
      <c r="I35" s="125"/>
      <c r="J35" s="125"/>
      <c r="K35" s="125"/>
      <c r="L35" s="125">
        <f>C35+D35+E35+F35+G35+K35+I35</f>
        <v>11</v>
      </c>
      <c r="M35" s="125">
        <f>L35*2500</f>
        <v>27500</v>
      </c>
      <c r="N35" s="126"/>
    </row>
    <row r="36" spans="1:14" ht="24" customHeight="1" thickBot="1">
      <c r="A36" s="55">
        <f>A35</f>
        <v>26</v>
      </c>
      <c r="B36" s="56" t="s">
        <v>3</v>
      </c>
      <c r="C36" s="57">
        <f aca="true" t="shared" si="1" ref="C36:M36">SUM(C10:C35)</f>
        <v>164</v>
      </c>
      <c r="D36" s="57">
        <f t="shared" si="1"/>
        <v>109</v>
      </c>
      <c r="E36" s="57">
        <f t="shared" si="1"/>
        <v>81</v>
      </c>
      <c r="F36" s="57">
        <f t="shared" si="1"/>
        <v>162</v>
      </c>
      <c r="G36" s="57">
        <f t="shared" si="1"/>
        <v>96</v>
      </c>
      <c r="H36" s="57">
        <f t="shared" si="1"/>
        <v>102</v>
      </c>
      <c r="I36" s="57">
        <f t="shared" si="1"/>
        <v>6</v>
      </c>
      <c r="J36" s="57">
        <f t="shared" si="1"/>
        <v>3</v>
      </c>
      <c r="K36" s="57">
        <f t="shared" si="1"/>
        <v>6</v>
      </c>
      <c r="L36" s="57">
        <f t="shared" si="1"/>
        <v>725</v>
      </c>
      <c r="M36" s="57">
        <f t="shared" si="1"/>
        <v>4078700</v>
      </c>
      <c r="N36" s="58"/>
    </row>
    <row r="37" ht="24" customHeight="1" thickTop="1"/>
    <row r="38" spans="1:14" ht="24" customHeight="1">
      <c r="A38" s="199" t="s">
        <v>104</v>
      </c>
      <c r="B38" s="199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</row>
    <row r="39" spans="1:11" ht="24" customHeight="1">
      <c r="A39" s="51" t="s">
        <v>110</v>
      </c>
      <c r="D39" s="51" t="s">
        <v>108</v>
      </c>
      <c r="G39" s="51" t="s">
        <v>101</v>
      </c>
      <c r="H39" s="51"/>
      <c r="I39" s="51"/>
      <c r="J39" s="51"/>
      <c r="K39" s="51"/>
    </row>
    <row r="40" spans="1:7" ht="24" customHeight="1">
      <c r="A40" s="45" t="s">
        <v>96</v>
      </c>
      <c r="D40" s="45" t="s">
        <v>41</v>
      </c>
      <c r="G40" s="45" t="s">
        <v>102</v>
      </c>
    </row>
    <row r="41" spans="1:7" ht="24" customHeight="1">
      <c r="A41" s="45" t="s">
        <v>97</v>
      </c>
      <c r="D41" s="45" t="s">
        <v>42</v>
      </c>
      <c r="G41" s="45" t="s">
        <v>109</v>
      </c>
    </row>
    <row r="42" spans="1:7" ht="24" customHeight="1">
      <c r="A42" s="45" t="s">
        <v>98</v>
      </c>
      <c r="D42" s="45" t="s">
        <v>43</v>
      </c>
      <c r="G42" s="45" t="s">
        <v>103</v>
      </c>
    </row>
    <row r="43" spans="8:14" ht="24" customHeight="1">
      <c r="H43" s="197"/>
      <c r="I43" s="197"/>
      <c r="J43" s="197"/>
      <c r="K43" s="197"/>
      <c r="L43" s="197"/>
      <c r="M43" s="197"/>
      <c r="N43" s="197"/>
    </row>
    <row r="44" spans="7:14" ht="18.75">
      <c r="G44" s="215" t="s">
        <v>87</v>
      </c>
      <c r="H44" s="215"/>
      <c r="I44" s="215"/>
      <c r="J44" s="215"/>
      <c r="K44" s="215"/>
      <c r="L44" s="215"/>
      <c r="M44" s="215"/>
      <c r="N44" s="215"/>
    </row>
    <row r="45" spans="1:14" ht="18.75">
      <c r="A45" s="51"/>
      <c r="B45" s="51" t="s">
        <v>88</v>
      </c>
      <c r="C45" s="51"/>
      <c r="D45" s="51"/>
      <c r="E45" s="51"/>
      <c r="F45" s="51"/>
      <c r="G45" s="153" t="s">
        <v>117</v>
      </c>
      <c r="H45" s="153"/>
      <c r="I45" s="153"/>
      <c r="J45" s="153"/>
      <c r="K45" s="153"/>
      <c r="L45" s="153"/>
      <c r="M45" s="153"/>
      <c r="N45" s="153"/>
    </row>
    <row r="50" ht="18.75">
      <c r="L50" s="113"/>
    </row>
  </sheetData>
  <sheetProtection/>
  <mergeCells count="16">
    <mergeCell ref="A1:D1"/>
    <mergeCell ref="A2:D2"/>
    <mergeCell ref="A4:N4"/>
    <mergeCell ref="A5:N5"/>
    <mergeCell ref="A6:B6"/>
    <mergeCell ref="A8:A9"/>
    <mergeCell ref="B8:B9"/>
    <mergeCell ref="C8:G8"/>
    <mergeCell ref="L8:L9"/>
    <mergeCell ref="M8:M9"/>
    <mergeCell ref="G44:N44"/>
    <mergeCell ref="G45:N45"/>
    <mergeCell ref="N8:N9"/>
    <mergeCell ref="A38:B38"/>
    <mergeCell ref="H43:N43"/>
    <mergeCell ref="I8:K8"/>
  </mergeCells>
  <printOptions/>
  <pageMargins left="0.2" right="0.2" top="0.75" bottom="0.75" header="0.3" footer="0.3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T30"/>
  <sheetViews>
    <sheetView zoomScale="70" zoomScaleNormal="70" zoomScalePageLayoutView="0" workbookViewId="0" topLeftCell="A7">
      <selection activeCell="F29" sqref="F29"/>
    </sheetView>
  </sheetViews>
  <sheetFormatPr defaultColWidth="9.140625" defaultRowHeight="15"/>
  <cols>
    <col min="1" max="1" width="9.57421875" style="45" customWidth="1"/>
    <col min="2" max="2" width="29.7109375" style="45" customWidth="1"/>
    <col min="3" max="18" width="8.140625" style="45" customWidth="1"/>
    <col min="19" max="19" width="17.28125" style="45" customWidth="1"/>
    <col min="20" max="20" width="15.8515625" style="45" customWidth="1"/>
  </cols>
  <sheetData>
    <row r="1" spans="1:13" ht="18.75">
      <c r="A1" s="208" t="s">
        <v>47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8.75">
      <c r="A2" s="208" t="s">
        <v>107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20" ht="2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/>
      <c r="N3" s="122"/>
      <c r="O3" s="122"/>
      <c r="P3" s="122"/>
      <c r="Q3" s="122"/>
      <c r="R3" s="122"/>
      <c r="S3" s="122"/>
      <c r="T3" s="122"/>
    </row>
    <row r="4" spans="1:20" ht="59.25" customHeight="1">
      <c r="A4" s="211" t="s">
        <v>35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</row>
    <row r="5" spans="1:20" ht="20.25">
      <c r="A5" s="211" t="s">
        <v>99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</row>
    <row r="6" spans="1:11" ht="18.75">
      <c r="A6" s="199" t="s">
        <v>28</v>
      </c>
      <c r="B6" s="19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19.5" thickBot="1">
      <c r="A7" s="60"/>
      <c r="B7" s="60"/>
      <c r="C7" s="129"/>
      <c r="D7" s="129"/>
      <c r="E7" s="129"/>
      <c r="F7" s="129"/>
      <c r="G7" s="129"/>
      <c r="H7" s="129"/>
      <c r="I7" s="129"/>
      <c r="J7" s="129"/>
      <c r="K7" s="129"/>
    </row>
    <row r="8" spans="1:20" ht="19.5" thickTop="1">
      <c r="A8" s="200" t="s">
        <v>0</v>
      </c>
      <c r="B8" s="202" t="s">
        <v>32</v>
      </c>
      <c r="C8" s="216" t="s">
        <v>116</v>
      </c>
      <c r="D8" s="217"/>
      <c r="E8" s="217"/>
      <c r="F8" s="217"/>
      <c r="G8" s="217"/>
      <c r="H8" s="218"/>
      <c r="I8" s="216" t="s">
        <v>145</v>
      </c>
      <c r="J8" s="219"/>
      <c r="K8" s="220"/>
      <c r="L8" s="205" t="s">
        <v>111</v>
      </c>
      <c r="M8" s="206"/>
      <c r="N8" s="206"/>
      <c r="O8" s="206"/>
      <c r="P8" s="206"/>
      <c r="Q8" s="128"/>
      <c r="R8" s="204" t="s">
        <v>105</v>
      </c>
      <c r="S8" s="202" t="s">
        <v>1</v>
      </c>
      <c r="T8" s="195" t="s">
        <v>34</v>
      </c>
    </row>
    <row r="9" spans="1:20" ht="18.75">
      <c r="A9" s="201"/>
      <c r="B9" s="203"/>
      <c r="C9" s="120" t="s">
        <v>90</v>
      </c>
      <c r="D9" s="120" t="s">
        <v>91</v>
      </c>
      <c r="E9" s="120" t="s">
        <v>92</v>
      </c>
      <c r="F9" s="120" t="s">
        <v>93</v>
      </c>
      <c r="G9" s="120" t="s">
        <v>94</v>
      </c>
      <c r="H9" s="120" t="s">
        <v>95</v>
      </c>
      <c r="I9" s="120" t="s">
        <v>92</v>
      </c>
      <c r="J9" s="120" t="s">
        <v>94</v>
      </c>
      <c r="K9" s="120" t="s">
        <v>95</v>
      </c>
      <c r="L9" s="112" t="s">
        <v>90</v>
      </c>
      <c r="M9" s="112" t="s">
        <v>91</v>
      </c>
      <c r="N9" s="112" t="s">
        <v>92</v>
      </c>
      <c r="O9" s="112" t="s">
        <v>93</v>
      </c>
      <c r="P9" s="112" t="s">
        <v>94</v>
      </c>
      <c r="Q9" s="120" t="s">
        <v>95</v>
      </c>
      <c r="R9" s="203"/>
      <c r="S9" s="203"/>
      <c r="T9" s="196"/>
    </row>
    <row r="10" spans="1:20" ht="18.75">
      <c r="A10" s="52">
        <v>2</v>
      </c>
      <c r="B10" s="49" t="s">
        <v>141</v>
      </c>
      <c r="C10" s="53">
        <v>7</v>
      </c>
      <c r="D10" s="53"/>
      <c r="E10" s="53">
        <v>1</v>
      </c>
      <c r="F10" s="53">
        <v>2</v>
      </c>
      <c r="G10" s="53">
        <v>3</v>
      </c>
      <c r="H10" s="53">
        <v>6</v>
      </c>
      <c r="I10" s="53">
        <v>2</v>
      </c>
      <c r="J10" s="53">
        <v>7</v>
      </c>
      <c r="K10" s="53">
        <v>6</v>
      </c>
      <c r="L10" s="53">
        <v>26</v>
      </c>
      <c r="M10" s="53"/>
      <c r="N10" s="53">
        <v>19</v>
      </c>
      <c r="O10" s="53">
        <v>21</v>
      </c>
      <c r="P10" s="53">
        <v>21</v>
      </c>
      <c r="Q10" s="53">
        <v>24</v>
      </c>
      <c r="R10" s="53">
        <f aca="true" t="shared" si="0" ref="R10:R15">SUM(C10:Q10)</f>
        <v>145</v>
      </c>
      <c r="S10" s="53">
        <f>(C10+D10+E10+F10+G10+H10)*25900+(L10+M10+N10+O10+P10+Q10)*8400+(I10+J10+K10)*11200</f>
        <v>1592500</v>
      </c>
      <c r="T10" s="50"/>
    </row>
    <row r="11" spans="1:20" ht="18.75">
      <c r="A11" s="52">
        <v>3</v>
      </c>
      <c r="B11" s="49" t="s">
        <v>140</v>
      </c>
      <c r="C11" s="53"/>
      <c r="D11" s="53">
        <v>7</v>
      </c>
      <c r="E11" s="53"/>
      <c r="F11" s="53"/>
      <c r="G11" s="53"/>
      <c r="H11" s="53"/>
      <c r="I11" s="53"/>
      <c r="J11" s="53"/>
      <c r="K11" s="53"/>
      <c r="L11" s="53"/>
      <c r="M11" s="53">
        <v>30</v>
      </c>
      <c r="N11" s="53"/>
      <c r="O11" s="53"/>
      <c r="P11" s="53"/>
      <c r="Q11" s="53"/>
      <c r="R11" s="53">
        <f t="shared" si="0"/>
        <v>37</v>
      </c>
      <c r="S11" s="53">
        <f>(C11+D11+E11+F11+G11+H11)*25900+(L11+M11+N11+O11+P11+Q11)*8400+(I11+J11+K11)*11200</f>
        <v>433300</v>
      </c>
      <c r="T11" s="50"/>
    </row>
    <row r="12" spans="1:20" ht="18.75">
      <c r="A12" s="52">
        <v>4</v>
      </c>
      <c r="B12" s="49" t="s">
        <v>144</v>
      </c>
      <c r="C12" s="53"/>
      <c r="D12" s="53">
        <v>7</v>
      </c>
      <c r="E12" s="53"/>
      <c r="F12" s="53"/>
      <c r="G12" s="53"/>
      <c r="H12" s="53"/>
      <c r="I12" s="53"/>
      <c r="J12" s="53"/>
      <c r="K12" s="53"/>
      <c r="L12" s="53"/>
      <c r="M12" s="53">
        <v>30</v>
      </c>
      <c r="N12" s="53"/>
      <c r="O12" s="53"/>
      <c r="P12" s="53"/>
      <c r="Q12" s="53"/>
      <c r="R12" s="53">
        <f t="shared" si="0"/>
        <v>37</v>
      </c>
      <c r="S12" s="53">
        <f>(C12+D12+E12+F12+G12+H12)*18700+(L12+M12+N12+O12+P12+Q12)*5000+(I12+J12+K12)*8300</f>
        <v>280900</v>
      </c>
      <c r="T12" s="50"/>
    </row>
    <row r="13" spans="1:20" ht="18.75">
      <c r="A13" s="52">
        <v>5</v>
      </c>
      <c r="B13" s="49" t="s">
        <v>142</v>
      </c>
      <c r="C13" s="53">
        <v>7</v>
      </c>
      <c r="D13" s="53"/>
      <c r="E13" s="53">
        <v>1</v>
      </c>
      <c r="F13" s="53"/>
      <c r="G13" s="53"/>
      <c r="H13" s="53">
        <v>6</v>
      </c>
      <c r="I13" s="53">
        <v>2</v>
      </c>
      <c r="J13" s="53"/>
      <c r="K13" s="53">
        <v>6</v>
      </c>
      <c r="L13" s="53">
        <v>26</v>
      </c>
      <c r="M13" s="53"/>
      <c r="N13" s="53">
        <v>19</v>
      </c>
      <c r="O13" s="53"/>
      <c r="P13" s="53"/>
      <c r="Q13" s="53"/>
      <c r="R13" s="53">
        <f t="shared" si="0"/>
        <v>67</v>
      </c>
      <c r="S13" s="53">
        <f>(C13+D13+E13+F13+G13+H13)*18700+(L13+M13+N13+O13+P13+Q13)*5000+(I13+J13+K13)*8300</f>
        <v>553200</v>
      </c>
      <c r="T13" s="50"/>
    </row>
    <row r="14" spans="1:20" ht="18.75">
      <c r="A14" s="52">
        <v>6</v>
      </c>
      <c r="B14" s="49" t="s">
        <v>146</v>
      </c>
      <c r="C14" s="53"/>
      <c r="D14" s="53"/>
      <c r="E14" s="53"/>
      <c r="F14" s="53">
        <v>2</v>
      </c>
      <c r="G14" s="53">
        <v>3</v>
      </c>
      <c r="H14" s="53"/>
      <c r="I14" s="53"/>
      <c r="J14" s="53">
        <v>7</v>
      </c>
      <c r="K14" s="53"/>
      <c r="L14" s="53"/>
      <c r="M14" s="53"/>
      <c r="N14" s="53"/>
      <c r="O14" s="53">
        <v>21</v>
      </c>
      <c r="P14" s="53">
        <v>21</v>
      </c>
      <c r="Q14" s="53">
        <v>24</v>
      </c>
      <c r="R14" s="53">
        <f t="shared" si="0"/>
        <v>78</v>
      </c>
      <c r="S14" s="53">
        <f>(C14+D14+E14+F14+G14+H14)*18700+(L14+M14+N14+O14+P14+Q14)*5000+(I14+J14+K14)*8300</f>
        <v>481600</v>
      </c>
      <c r="T14" s="50"/>
    </row>
    <row r="15" spans="1:20" ht="19.5" thickBot="1">
      <c r="A15" s="52">
        <v>7</v>
      </c>
      <c r="B15" s="49" t="s">
        <v>143</v>
      </c>
      <c r="C15" s="53">
        <v>7</v>
      </c>
      <c r="D15" s="53">
        <v>7</v>
      </c>
      <c r="E15" s="53">
        <v>1</v>
      </c>
      <c r="F15" s="53">
        <v>2</v>
      </c>
      <c r="G15" s="53">
        <v>3</v>
      </c>
      <c r="H15" s="53">
        <v>6</v>
      </c>
      <c r="I15" s="53">
        <v>2</v>
      </c>
      <c r="J15" s="53">
        <v>7</v>
      </c>
      <c r="K15" s="53">
        <v>6</v>
      </c>
      <c r="L15" s="53">
        <v>26</v>
      </c>
      <c r="M15" s="53">
        <v>30</v>
      </c>
      <c r="N15" s="53">
        <v>19</v>
      </c>
      <c r="O15" s="53">
        <v>21</v>
      </c>
      <c r="P15" s="53">
        <v>21</v>
      </c>
      <c r="Q15" s="53">
        <v>24</v>
      </c>
      <c r="R15" s="53">
        <f t="shared" si="0"/>
        <v>182</v>
      </c>
      <c r="S15" s="53">
        <f>(C15+D15+E15+F15+G15+H15)*14300+(L15+M15+N15+O15+P15+Q15)*2500+(I15+J15+K15)*5000</f>
        <v>799300</v>
      </c>
      <c r="T15" s="50"/>
    </row>
    <row r="16" spans="1:20" ht="19.5" thickBot="1">
      <c r="A16" s="55">
        <f>A15</f>
        <v>7</v>
      </c>
      <c r="B16" s="56" t="s">
        <v>3</v>
      </c>
      <c r="C16" s="57">
        <f>SUM(C10:C15)</f>
        <v>21</v>
      </c>
      <c r="D16" s="57">
        <f aca="true" t="shared" si="1" ref="D16:R16">SUM(D10:D15)</f>
        <v>21</v>
      </c>
      <c r="E16" s="57">
        <f t="shared" si="1"/>
        <v>3</v>
      </c>
      <c r="F16" s="57">
        <f t="shared" si="1"/>
        <v>6</v>
      </c>
      <c r="G16" s="57">
        <f t="shared" si="1"/>
        <v>9</v>
      </c>
      <c r="H16" s="57">
        <f t="shared" si="1"/>
        <v>18</v>
      </c>
      <c r="I16" s="57">
        <f t="shared" si="1"/>
        <v>6</v>
      </c>
      <c r="J16" s="57">
        <f t="shared" si="1"/>
        <v>21</v>
      </c>
      <c r="K16" s="57">
        <f t="shared" si="1"/>
        <v>18</v>
      </c>
      <c r="L16" s="57">
        <f t="shared" si="1"/>
        <v>78</v>
      </c>
      <c r="M16" s="57">
        <f t="shared" si="1"/>
        <v>90</v>
      </c>
      <c r="N16" s="57">
        <f t="shared" si="1"/>
        <v>57</v>
      </c>
      <c r="O16" s="57">
        <f t="shared" si="1"/>
        <v>63</v>
      </c>
      <c r="P16" s="57">
        <f t="shared" si="1"/>
        <v>63</v>
      </c>
      <c r="Q16" s="57">
        <f t="shared" si="1"/>
        <v>72</v>
      </c>
      <c r="R16" s="57">
        <f t="shared" si="1"/>
        <v>546</v>
      </c>
      <c r="S16" s="57">
        <f>SUM(S10:S15)</f>
        <v>4140800</v>
      </c>
      <c r="T16" s="58"/>
    </row>
    <row r="17" ht="19.5" thickTop="1"/>
    <row r="18" spans="1:20" ht="18.75">
      <c r="A18" s="199" t="s">
        <v>104</v>
      </c>
      <c r="B18" s="199"/>
      <c r="C18" s="129"/>
      <c r="D18" s="129"/>
      <c r="E18" s="129"/>
      <c r="F18" s="129"/>
      <c r="G18" s="129"/>
      <c r="H18" s="129"/>
      <c r="I18" s="129"/>
      <c r="J18" s="129"/>
      <c r="K18" s="129"/>
      <c r="L18" s="117"/>
      <c r="M18" s="117"/>
      <c r="N18" s="117"/>
      <c r="O18" s="117"/>
      <c r="P18" s="117"/>
      <c r="Q18" s="117"/>
      <c r="R18" s="117"/>
      <c r="S18" s="117"/>
      <c r="T18" s="117"/>
    </row>
    <row r="19" spans="1:17" ht="18.75">
      <c r="A19" s="51" t="s">
        <v>110</v>
      </c>
      <c r="C19" s="51" t="s">
        <v>108</v>
      </c>
      <c r="F19" s="51"/>
      <c r="G19" s="51"/>
      <c r="H19" s="51" t="s">
        <v>101</v>
      </c>
      <c r="I19" s="51"/>
      <c r="J19" s="51"/>
      <c r="K19" s="51"/>
      <c r="Q19" s="51"/>
    </row>
    <row r="20" spans="1:8" ht="18.75">
      <c r="A20" s="45" t="s">
        <v>96</v>
      </c>
      <c r="C20" s="45" t="s">
        <v>41</v>
      </c>
      <c r="H20" s="45" t="s">
        <v>102</v>
      </c>
    </row>
    <row r="21" spans="1:8" ht="18.75">
      <c r="A21" s="45" t="s">
        <v>97</v>
      </c>
      <c r="C21" s="45" t="s">
        <v>42</v>
      </c>
      <c r="H21" s="45" t="s">
        <v>109</v>
      </c>
    </row>
    <row r="22" spans="1:8" ht="18.75">
      <c r="A22" s="45" t="s">
        <v>98</v>
      </c>
      <c r="C22" s="45" t="s">
        <v>43</v>
      </c>
      <c r="H22" s="45" t="s">
        <v>103</v>
      </c>
    </row>
    <row r="23" spans="17:20" ht="18.75">
      <c r="Q23" s="197"/>
      <c r="R23" s="197"/>
      <c r="S23" s="197"/>
      <c r="T23" s="197"/>
    </row>
    <row r="24" spans="16:20" ht="18.75">
      <c r="P24" s="197" t="s">
        <v>87</v>
      </c>
      <c r="Q24" s="197"/>
      <c r="R24" s="197"/>
      <c r="S24" s="197"/>
      <c r="T24" s="197"/>
    </row>
    <row r="25" spans="1:20" ht="18.75">
      <c r="A25" s="51"/>
      <c r="B25" s="51" t="s">
        <v>88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153" t="s">
        <v>48</v>
      </c>
      <c r="Q25" s="153"/>
      <c r="R25" s="153"/>
      <c r="S25" s="153"/>
      <c r="T25" s="153"/>
    </row>
    <row r="30" ht="18.75">
      <c r="R30" s="113"/>
    </row>
  </sheetData>
  <sheetProtection/>
  <mergeCells count="17">
    <mergeCell ref="T8:T9"/>
    <mergeCell ref="A18:B18"/>
    <mergeCell ref="Q23:T23"/>
    <mergeCell ref="P24:T24"/>
    <mergeCell ref="P25:T25"/>
    <mergeCell ref="I8:K8"/>
    <mergeCell ref="C8:H8"/>
    <mergeCell ref="A1:M1"/>
    <mergeCell ref="A2:M2"/>
    <mergeCell ref="A4:T4"/>
    <mergeCell ref="A5:T5"/>
    <mergeCell ref="A6:B6"/>
    <mergeCell ref="A8:A9"/>
    <mergeCell ref="B8:B9"/>
    <mergeCell ref="L8:P8"/>
    <mergeCell ref="R8:R9"/>
    <mergeCell ref="S8:S9"/>
  </mergeCells>
  <printOptions/>
  <pageMargins left="0.32" right="0.2" top="0.75" bottom="0.75" header="0.3" footer="0.3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N27"/>
  <sheetViews>
    <sheetView zoomScale="70" zoomScaleNormal="70" zoomScalePageLayoutView="0" workbookViewId="0" topLeftCell="A7">
      <selection activeCell="B10" sqref="B10:B16"/>
    </sheetView>
  </sheetViews>
  <sheetFormatPr defaultColWidth="9.140625" defaultRowHeight="15"/>
  <cols>
    <col min="1" max="1" width="9.57421875" style="45" customWidth="1"/>
    <col min="2" max="2" width="27.57421875" style="45" customWidth="1"/>
    <col min="3" max="3" width="21.57421875" style="45" customWidth="1"/>
    <col min="4" max="4" width="10.140625" style="45" customWidth="1"/>
    <col min="5" max="5" width="11.8515625" style="45" customWidth="1"/>
    <col min="6" max="6" width="13.00390625" style="45" customWidth="1"/>
    <col min="7" max="7" width="13.8515625" style="45" customWidth="1"/>
    <col min="8" max="8" width="15.140625" style="45" customWidth="1"/>
    <col min="9" max="9" width="14.421875" style="45" customWidth="1"/>
    <col min="10" max="10" width="13.7109375" style="45" customWidth="1"/>
    <col min="11" max="11" width="17.421875" style="45" customWidth="1"/>
    <col min="12" max="12" width="16.140625" style="45" customWidth="1"/>
    <col min="13" max="13" width="14.140625" style="0" customWidth="1"/>
  </cols>
  <sheetData>
    <row r="1" spans="1:5" ht="18.75">
      <c r="A1" s="208" t="s">
        <v>47</v>
      </c>
      <c r="B1" s="208"/>
      <c r="C1" s="208"/>
      <c r="D1" s="208"/>
      <c r="E1" s="208"/>
    </row>
    <row r="2" spans="1:5" ht="18.75">
      <c r="A2" s="208" t="s">
        <v>107</v>
      </c>
      <c r="B2" s="208"/>
      <c r="C2" s="208"/>
      <c r="D2" s="208"/>
      <c r="E2" s="208"/>
    </row>
    <row r="3" spans="1:13" ht="62.25" customHeight="1">
      <c r="A3" s="211" t="s">
        <v>132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ht="20.25">
      <c r="A4" s="211" t="s">
        <v>99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2" ht="15">
      <c r="A5"/>
      <c r="B5"/>
      <c r="C5"/>
      <c r="D5"/>
      <c r="E5"/>
      <c r="F5"/>
      <c r="G5"/>
      <c r="H5"/>
      <c r="I5"/>
      <c r="J5"/>
      <c r="K5"/>
      <c r="L5"/>
    </row>
    <row r="6" spans="1:3" ht="18.75">
      <c r="A6" s="199" t="s">
        <v>118</v>
      </c>
      <c r="B6" s="199"/>
      <c r="C6" s="63"/>
    </row>
    <row r="7" spans="1:3" ht="19.5" thickBot="1">
      <c r="A7" s="60"/>
      <c r="B7" s="60"/>
      <c r="C7" s="63"/>
    </row>
    <row r="8" spans="1:13" ht="19.5" thickTop="1">
      <c r="A8" s="200" t="s">
        <v>0</v>
      </c>
      <c r="B8" s="202" t="s">
        <v>32</v>
      </c>
      <c r="C8" s="115" t="s">
        <v>130</v>
      </c>
      <c r="D8" s="205" t="s">
        <v>127</v>
      </c>
      <c r="E8" s="206"/>
      <c r="F8" s="206"/>
      <c r="G8" s="206"/>
      <c r="H8" s="206"/>
      <c r="I8" s="114"/>
      <c r="J8" s="127" t="s">
        <v>131</v>
      </c>
      <c r="K8" s="204" t="s">
        <v>105</v>
      </c>
      <c r="L8" s="202" t="s">
        <v>1</v>
      </c>
      <c r="M8" s="195" t="s">
        <v>34</v>
      </c>
    </row>
    <row r="9" spans="1:13" ht="18.75">
      <c r="A9" s="201"/>
      <c r="B9" s="203"/>
      <c r="C9" s="120" t="s">
        <v>100</v>
      </c>
      <c r="D9" s="112" t="s">
        <v>90</v>
      </c>
      <c r="E9" s="209" t="s">
        <v>100</v>
      </c>
      <c r="F9" s="210"/>
      <c r="G9" s="112" t="s">
        <v>93</v>
      </c>
      <c r="H9" s="112" t="s">
        <v>94</v>
      </c>
      <c r="I9" s="120" t="s">
        <v>95</v>
      </c>
      <c r="J9" s="120" t="s">
        <v>95</v>
      </c>
      <c r="K9" s="203"/>
      <c r="L9" s="203"/>
      <c r="M9" s="196"/>
    </row>
    <row r="10" spans="1:13" ht="18.75">
      <c r="A10" s="52">
        <v>1</v>
      </c>
      <c r="B10" s="49" t="s">
        <v>44</v>
      </c>
      <c r="C10" s="53">
        <v>3</v>
      </c>
      <c r="D10" s="53">
        <v>5</v>
      </c>
      <c r="E10" s="53">
        <v>2</v>
      </c>
      <c r="F10" s="53"/>
      <c r="G10" s="53">
        <v>1</v>
      </c>
      <c r="H10" s="53"/>
      <c r="I10" s="53"/>
      <c r="J10" s="53"/>
      <c r="K10" s="53">
        <f aca="true" t="shared" si="0" ref="K10:K16">D10+E10+F10+G10+H10+I10+C10+J10</f>
        <v>11</v>
      </c>
      <c r="L10" s="53">
        <f>(D10+E10+G10)*40000+C10*90000</f>
        <v>590000</v>
      </c>
      <c r="M10" s="50"/>
    </row>
    <row r="11" spans="1:13" ht="18.75">
      <c r="A11" s="52">
        <v>2</v>
      </c>
      <c r="B11" s="49" t="s">
        <v>53</v>
      </c>
      <c r="C11" s="53">
        <v>3</v>
      </c>
      <c r="D11" s="53">
        <v>4</v>
      </c>
      <c r="E11" s="53">
        <v>2</v>
      </c>
      <c r="F11" s="53"/>
      <c r="G11" s="53">
        <v>1</v>
      </c>
      <c r="H11" s="53">
        <v>1</v>
      </c>
      <c r="I11" s="53">
        <v>2</v>
      </c>
      <c r="J11" s="53"/>
      <c r="K11" s="53">
        <f t="shared" si="0"/>
        <v>13</v>
      </c>
      <c r="L11" s="53">
        <f>(D11+E11+G11+H11+I11)*40000+C11*90000</f>
        <v>670000</v>
      </c>
      <c r="M11" s="50"/>
    </row>
    <row r="12" spans="1:13" ht="18.75">
      <c r="A12" s="52">
        <v>3</v>
      </c>
      <c r="B12" s="49" t="s">
        <v>37</v>
      </c>
      <c r="C12" s="53"/>
      <c r="D12" s="53"/>
      <c r="E12" s="53"/>
      <c r="F12" s="53"/>
      <c r="G12" s="53"/>
      <c r="H12" s="53">
        <v>1</v>
      </c>
      <c r="I12" s="53">
        <v>2</v>
      </c>
      <c r="J12" s="53">
        <v>1</v>
      </c>
      <c r="K12" s="53">
        <f t="shared" si="0"/>
        <v>4</v>
      </c>
      <c r="L12" s="53">
        <f>(D12+E12+G12+H12+I12)*40000+C12*90000+J12*30000</f>
        <v>150000</v>
      </c>
      <c r="M12" s="50"/>
    </row>
    <row r="13" spans="1:13" ht="18.75">
      <c r="A13" s="52">
        <v>4</v>
      </c>
      <c r="B13" s="49" t="s">
        <v>38</v>
      </c>
      <c r="C13" s="53">
        <v>3</v>
      </c>
      <c r="D13" s="53">
        <v>5</v>
      </c>
      <c r="E13" s="53">
        <v>2</v>
      </c>
      <c r="F13" s="53"/>
      <c r="G13" s="53">
        <v>1</v>
      </c>
      <c r="H13" s="53">
        <v>1</v>
      </c>
      <c r="I13" s="53">
        <v>2</v>
      </c>
      <c r="J13" s="53">
        <v>1</v>
      </c>
      <c r="K13" s="53">
        <f t="shared" si="0"/>
        <v>15</v>
      </c>
      <c r="L13" s="53">
        <f>(D13+E13+G13+H13+I13)*30000+C13*65000+J13*18000</f>
        <v>543000</v>
      </c>
      <c r="M13" s="50"/>
    </row>
    <row r="14" spans="1:13" ht="18.75">
      <c r="A14" s="52">
        <v>5</v>
      </c>
      <c r="B14" s="49" t="s">
        <v>73</v>
      </c>
      <c r="C14" s="53">
        <v>3</v>
      </c>
      <c r="D14" s="53">
        <v>4</v>
      </c>
      <c r="E14" s="53">
        <v>2</v>
      </c>
      <c r="F14" s="53"/>
      <c r="G14" s="53">
        <v>1</v>
      </c>
      <c r="H14" s="53">
        <v>1</v>
      </c>
      <c r="I14" s="53">
        <v>2</v>
      </c>
      <c r="J14" s="53"/>
      <c r="K14" s="53">
        <f t="shared" si="0"/>
        <v>13</v>
      </c>
      <c r="L14" s="53">
        <f>(D14+E14+G14+H14+I14)*30000+C14*65000</f>
        <v>495000</v>
      </c>
      <c r="M14" s="50"/>
    </row>
    <row r="15" spans="1:13" ht="18.75">
      <c r="A15" s="52">
        <v>6</v>
      </c>
      <c r="B15" s="49" t="s">
        <v>45</v>
      </c>
      <c r="C15" s="53">
        <v>3</v>
      </c>
      <c r="D15" s="53">
        <v>5</v>
      </c>
      <c r="E15" s="53">
        <v>2</v>
      </c>
      <c r="F15" s="53"/>
      <c r="G15" s="53">
        <v>1</v>
      </c>
      <c r="H15" s="53">
        <v>1</v>
      </c>
      <c r="I15" s="53">
        <v>2</v>
      </c>
      <c r="J15" s="53">
        <v>1</v>
      </c>
      <c r="K15" s="53">
        <f t="shared" si="0"/>
        <v>15</v>
      </c>
      <c r="L15" s="53">
        <f>(E15+D15+G15+H15+I15)*18000+C15*50000+J15*9000</f>
        <v>357000</v>
      </c>
      <c r="M15" s="50"/>
    </row>
    <row r="16" spans="1:13" ht="19.5" thickBot="1">
      <c r="A16" s="52">
        <v>7</v>
      </c>
      <c r="B16" s="49" t="s">
        <v>46</v>
      </c>
      <c r="C16" s="53">
        <v>3</v>
      </c>
      <c r="D16" s="53">
        <v>4</v>
      </c>
      <c r="E16" s="53">
        <v>2</v>
      </c>
      <c r="F16" s="53"/>
      <c r="G16" s="53">
        <v>1</v>
      </c>
      <c r="H16" s="53">
        <v>1</v>
      </c>
      <c r="I16" s="53">
        <v>2</v>
      </c>
      <c r="J16" s="53"/>
      <c r="K16" s="53">
        <f t="shared" si="0"/>
        <v>13</v>
      </c>
      <c r="L16" s="53">
        <f>(E16+D16+G16+H16+I16)*18000+C16*50000</f>
        <v>330000</v>
      </c>
      <c r="M16" s="50"/>
    </row>
    <row r="17" spans="1:13" ht="19.5" thickBot="1">
      <c r="A17" s="55">
        <f>A16</f>
        <v>7</v>
      </c>
      <c r="B17" s="56" t="s">
        <v>3</v>
      </c>
      <c r="C17" s="57">
        <f aca="true" t="shared" si="1" ref="C17:L17">SUM(C10:C16)</f>
        <v>18</v>
      </c>
      <c r="D17" s="57">
        <f t="shared" si="1"/>
        <v>27</v>
      </c>
      <c r="E17" s="57">
        <f t="shared" si="1"/>
        <v>12</v>
      </c>
      <c r="F17" s="57">
        <f t="shared" si="1"/>
        <v>0</v>
      </c>
      <c r="G17" s="57">
        <f t="shared" si="1"/>
        <v>6</v>
      </c>
      <c r="H17" s="57">
        <f t="shared" si="1"/>
        <v>6</v>
      </c>
      <c r="I17" s="57">
        <f t="shared" si="1"/>
        <v>12</v>
      </c>
      <c r="J17" s="57">
        <f t="shared" si="1"/>
        <v>3</v>
      </c>
      <c r="K17" s="57">
        <f t="shared" si="1"/>
        <v>84</v>
      </c>
      <c r="L17" s="57">
        <f t="shared" si="1"/>
        <v>3135000</v>
      </c>
      <c r="M17" s="58"/>
    </row>
    <row r="18" ht="19.5" thickTop="1"/>
    <row r="19" spans="1:12" ht="18.75">
      <c r="A19" s="199" t="s">
        <v>104</v>
      </c>
      <c r="B19" s="199"/>
      <c r="C19" s="63"/>
      <c r="D19" s="117"/>
      <c r="E19" s="117"/>
      <c r="F19" s="117"/>
      <c r="G19" s="117"/>
      <c r="H19" s="117"/>
      <c r="I19" s="117"/>
      <c r="J19" s="117"/>
      <c r="K19" s="117"/>
      <c r="L19" s="117"/>
    </row>
    <row r="20" spans="1:10" ht="18.75">
      <c r="A20" s="51" t="s">
        <v>128</v>
      </c>
      <c r="E20" s="51" t="s">
        <v>127</v>
      </c>
      <c r="H20" s="51" t="s">
        <v>129</v>
      </c>
      <c r="I20" s="51"/>
      <c r="J20" s="51"/>
    </row>
    <row r="21" spans="1:8" ht="18.75">
      <c r="A21" s="45" t="s">
        <v>119</v>
      </c>
      <c r="E21" s="45" t="s">
        <v>122</v>
      </c>
      <c r="H21" s="45" t="s">
        <v>125</v>
      </c>
    </row>
    <row r="22" spans="1:8" ht="18.75">
      <c r="A22" s="45" t="s">
        <v>120</v>
      </c>
      <c r="E22" s="45" t="s">
        <v>123</v>
      </c>
      <c r="H22" s="45" t="s">
        <v>126</v>
      </c>
    </row>
    <row r="23" spans="1:8" ht="18.75">
      <c r="A23" s="45" t="s">
        <v>121</v>
      </c>
      <c r="E23" s="45" t="s">
        <v>124</v>
      </c>
      <c r="H23" s="45" t="s">
        <v>89</v>
      </c>
    </row>
    <row r="24" spans="9:12" ht="18.75">
      <c r="I24"/>
      <c r="J24"/>
      <c r="K24"/>
      <c r="L24"/>
    </row>
    <row r="25" spans="8:12" ht="18.75">
      <c r="H25"/>
      <c r="I25"/>
      <c r="J25"/>
      <c r="K25"/>
      <c r="L25"/>
    </row>
    <row r="26" spans="8:14" ht="18.75">
      <c r="H26" s="61"/>
      <c r="I26" s="61"/>
      <c r="J26" s="197" t="s">
        <v>87</v>
      </c>
      <c r="K26" s="197"/>
      <c r="L26" s="197"/>
      <c r="M26" s="197"/>
      <c r="N26" s="61"/>
    </row>
    <row r="27" spans="1:14" ht="18.75">
      <c r="A27" s="51"/>
      <c r="B27" s="51" t="s">
        <v>88</v>
      </c>
      <c r="C27" s="51"/>
      <c r="D27" s="51"/>
      <c r="E27" s="51"/>
      <c r="F27" s="51"/>
      <c r="G27" s="62"/>
      <c r="H27" s="62"/>
      <c r="I27" s="62"/>
      <c r="J27" s="153" t="s">
        <v>133</v>
      </c>
      <c r="K27" s="153"/>
      <c r="L27" s="153"/>
      <c r="M27" s="153"/>
      <c r="N27" s="62"/>
    </row>
  </sheetData>
  <sheetProtection/>
  <mergeCells count="15">
    <mergeCell ref="A1:E1"/>
    <mergeCell ref="A2:E2"/>
    <mergeCell ref="A6:B6"/>
    <mergeCell ref="A8:A9"/>
    <mergeCell ref="B8:B9"/>
    <mergeCell ref="D8:H8"/>
    <mergeCell ref="J26:M26"/>
    <mergeCell ref="J27:M27"/>
    <mergeCell ref="K8:K9"/>
    <mergeCell ref="L8:L9"/>
    <mergeCell ref="A19:B19"/>
    <mergeCell ref="A3:M3"/>
    <mergeCell ref="A4:M4"/>
    <mergeCell ref="M8:M9"/>
    <mergeCell ref="E9:F9"/>
  </mergeCells>
  <printOptions/>
  <pageMargins left="0.39" right="0.23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DADA</dc:creator>
  <cp:keywords/>
  <dc:description/>
  <cp:lastModifiedBy>hp</cp:lastModifiedBy>
  <cp:lastPrinted>2015-11-02T03:48:56Z</cp:lastPrinted>
  <dcterms:created xsi:type="dcterms:W3CDTF">2012-02-03T08:46:08Z</dcterms:created>
  <dcterms:modified xsi:type="dcterms:W3CDTF">2015-11-02T09:22:23Z</dcterms:modified>
  <cp:category/>
  <cp:version/>
  <cp:contentType/>
  <cp:contentStatus/>
</cp:coreProperties>
</file>