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740" activeTab="0"/>
  </bookViews>
  <sheets>
    <sheet name="TNTTQUY II - 2016" sheetId="1" r:id="rId1"/>
    <sheet name="Salary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nguyen minh hieu</author>
    <author>Admin</author>
    <author>DA DA</author>
    <author>Nguyen Minh Hieu</author>
    <author>DADA</author>
    <author>NGO NGOC TUAN</author>
    <author>NGOCTUAN</author>
    <author>N4010</author>
    <author>Windows User</author>
  </authors>
  <commentList>
    <comment ref="K3" authorId="0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Bình quân lương 1 tháng: 382.699.000đ
Hệ số K: 382.699.000x0.11/(HSL+PCCV+PCVK)
</t>
        </r>
      </text>
    </comment>
    <comment ref="N3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Mặc định HSL = 3, không được thay đổi công thức</t>
        </r>
      </text>
    </comment>
    <comment ref="B4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Chú ý không được thay đổi bất cứ công thức nào trong bảng tính.Chỉ thay đổi hệ số K theo từng quý.Trong khi làm unhide tất cả các cột và dòng.</t>
        </r>
      </text>
    </comment>
    <comment ref="K5" authorId="1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3.33 lên 3.66 từ tháng 4/2010
3.66 lên 3.99 từ 4/2012
</t>
        </r>
      </text>
    </comment>
    <comment ref="D14" authorId="2">
      <text>
        <r>
          <rPr>
            <b/>
            <sz val="12"/>
            <rFont val="Tahoma"/>
            <family val="2"/>
          </rPr>
          <t>DA DA:</t>
        </r>
        <r>
          <rPr>
            <sz val="12"/>
            <rFont val="Tahoma"/>
            <family val="2"/>
          </rPr>
          <t xml:space="preserve">
nâng lương 2.26 lên 2.41 từ tháng 10/2010</t>
        </r>
      </text>
    </comment>
    <comment ref="D15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3,31 LÊN 3,49 TỪ 01/12/2010, từ 3.49 - 3.67 từ 01/12/2012
</t>
        </r>
      </text>
    </comment>
    <comment ref="D18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2.01 từ 14/01/2013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2.19 lên 2.37 từ 14/01/2016</t>
        </r>
      </text>
    </comment>
    <comment ref="D1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1.99 lên 2.34 từ tháng 10/2010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2.67 lên 3.00 từ 01/09/2015
</t>
        </r>
      </text>
    </comment>
    <comment ref="D1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3.86 từ tháng 1/2010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nâng lương từ 4.32 lên 4.65 từ 01/01/2016</t>
        </r>
      </text>
    </comment>
    <comment ref="D2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1,68 LÊN 1,86 TỪ 12/9/2012
</t>
        </r>
      </text>
    </comment>
    <comment ref="D24" authorId="4">
      <text>
        <r>
          <rPr>
            <b/>
            <sz val="8"/>
            <rFont val="Tahoma"/>
            <family val="2"/>
          </rPr>
          <t xml:space="preserve">Nhung: </t>
        </r>
        <r>
          <rPr>
            <sz val="8"/>
            <rFont val="Tahoma"/>
            <family val="2"/>
          </rPr>
          <t xml:space="preserve">Nâng lương 4.32 lên 4.65 từ 01/11/2012
</t>
        </r>
        <r>
          <rPr>
            <b/>
            <sz val="8"/>
            <rFont val="Tahoma"/>
            <family val="2"/>
          </rPr>
          <t xml:space="preserve">Nhung: 
</t>
        </r>
        <r>
          <rPr>
            <sz val="8"/>
            <rFont val="Tahoma"/>
            <family val="2"/>
          </rPr>
          <t xml:space="preserve">Tăng HSL từ 4.65 lên 4.98 từ 01/11/2015
</t>
        </r>
      </text>
    </comment>
    <comment ref="H24" authorId="5">
      <text>
        <r>
          <rPr>
            <b/>
            <sz val="10"/>
            <rFont val="Tahoma"/>
            <family val="2"/>
          </rPr>
          <t>PC trưởng phòng 0,4. PC KTT 0,1</t>
        </r>
      </text>
    </comment>
    <comment ref="D26" authorId="2">
      <text>
        <r>
          <rPr>
            <b/>
            <sz val="12"/>
            <rFont val="Tahoma"/>
            <family val="2"/>
          </rPr>
          <t>DA DA:</t>
        </r>
        <r>
          <rPr>
            <sz val="12"/>
            <rFont val="Tahoma"/>
            <family val="2"/>
          </rPr>
          <t xml:space="preserve">
nâng lương 2.34 lên 2.67 từ tháng 6/2010, 2.67 lên 3.00 từ 01/6/2013</t>
        </r>
      </text>
    </comment>
    <comment ref="D29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NL từ 2.34 lên 2.67 từ 14/1/2013
</t>
        </r>
      </text>
    </comment>
    <comment ref="D3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2.46 từ tháng 6/2010
2.46 lên 2.66 từ 1/1/2012
2.66 lên 2.86 từ 1/1/2013</t>
        </r>
      </text>
    </comment>
    <comment ref="D33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1.86 Lên 2.06 từ 01/08/2012
</t>
        </r>
      </text>
    </comment>
    <comment ref="D144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3.66 lên 3.86 từ 01/1/2011
3.86 lên 4.06 từ 1/1/2013</t>
        </r>
      </text>
    </comment>
    <comment ref="D35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từ tháng 2/2010</t>
        </r>
      </text>
    </comment>
    <comment ref="D43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3.06 lên 3.26 từ 01/6/2011
3.26 lên 3.46 từ 1/6/2013</t>
        </r>
      </text>
    </comment>
    <comment ref="D4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2.86 lên 3.06 từ tháng 5/2010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nâng lương từ 3.46 lên 3.66 từ 01/05/2016
</t>
        </r>
      </text>
    </comment>
    <comment ref="D4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3.06lên 3,26 từ 01/08/2012</t>
        </r>
      </text>
    </comment>
    <comment ref="D47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2.46 lên 2.66 từ tháng 1/2010
Nhung:
nâng lương từ 3.06 lên 3.26 từ 01/01/2016
</t>
        </r>
      </text>
    </comment>
    <comment ref="D4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tà thág 2/2010
2.26 lên2.34 từ 1/1/2012, 2.34 lên 2.67 từ 01/2/2013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từ 2.67 lên 3.00 từ 01/02/2016</t>
        </r>
      </text>
    </comment>
    <comment ref="D5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3.33 lên 3.66 từ 1/6/2011
3.66 lên 3.99 từ 1/6/2013
Nhung:
nâng lương từ 3.99 lên 4.32 từ 01/06/2016</t>
        </r>
      </text>
    </comment>
    <comment ref="D5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2.46 lên 2.67 từ tháng 10/2010
</t>
        </r>
      </text>
    </comment>
    <comment ref="D5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 LÊN 2,46 TỪ 01/12/2012
</t>
        </r>
        <r>
          <rPr>
            <b/>
            <sz val="8"/>
            <rFont val="Tahoma"/>
            <family val="2"/>
          </rPr>
          <t>Nhung :</t>
        </r>
        <r>
          <rPr>
            <sz val="8"/>
            <rFont val="Tahoma"/>
            <family val="2"/>
          </rPr>
          <t xml:space="preserve">
TĂng hsl từ 2.66 lên 2.86 từ 01/12/2015
</t>
        </r>
      </text>
    </comment>
    <comment ref="D6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2.06 lên 2.26 từ tháng 2/2010</t>
        </r>
      </text>
    </comment>
    <comment ref="D61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1.58 lên  1.86 từ01/02/2013
</t>
        </r>
      </text>
    </comment>
    <comment ref="D6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2,37 LÊN 2,55 TỪ 01/7/2012</t>
        </r>
      </text>
    </comment>
    <comment ref="D67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từ 3.99 lên 4.32 từ 01/11/2012
</t>
        </r>
      </text>
    </comment>
    <comment ref="D6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3.46 lên 3.66 từ tháng 1/2010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 nâng lương từ 3.86 lên 4.06 từ 01/01/2016</t>
        </r>
      </text>
    </comment>
    <comment ref="D6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3.86 từ tháng 1/2010</t>
        </r>
        <r>
          <rPr>
            <sz val="8"/>
            <rFont val="Tahoma"/>
            <family val="2"/>
          </rPr>
          <t xml:space="preserve">
</t>
        </r>
      </text>
    </comment>
    <comment ref="D13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2/2011
1.86 lên 2.06 từ 3/2/2013</t>
        </r>
      </text>
    </comment>
    <comment ref="D74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1.58 lên 1.86 từ 01/02/2013</t>
        </r>
      </text>
    </comment>
    <comment ref="D1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3,33 lên 3,66 từ 01/07/2010</t>
        </r>
      </text>
    </comment>
    <comment ref="D77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3.46 lên 3.66 từ tháng 1/2010</t>
        </r>
      </text>
    </comment>
    <comment ref="D7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2.86 lên 3.06 từ tháng 2/2010</t>
        </r>
      </text>
    </comment>
    <comment ref="D79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3.06 lên 3.26 từ 01/5/2011
3.26 lên 3.46 từ 1/5/2013 </t>
        </r>
      </text>
    </comment>
    <comment ref="D81" authorId="2">
      <text>
        <r>
          <rPr>
            <b/>
            <sz val="10"/>
            <rFont val="Tahoma"/>
            <family val="2"/>
          </rPr>
          <t>DA DA:</t>
        </r>
        <r>
          <rPr>
            <sz val="10"/>
            <rFont val="Tahoma"/>
            <family val="2"/>
          </rPr>
          <t xml:space="preserve">
nâng lương 2.66 lên 2.67 từ tháng 10/2010</t>
        </r>
      </text>
    </comment>
    <comment ref="D8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3.86 lên 3.99 từ tháng 10/2010
</t>
        </r>
      </text>
    </comment>
    <comment ref="D91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2.26 lên 2.46 từ 01/6/2011
2.46 lên 2.66 từ 1/6/2013</t>
        </r>
      </text>
    </comment>
    <comment ref="D9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3.06 lên 3.26 từ 01/6/2011
3.26 lên 3.46 từ 01/6/2013</t>
        </r>
      </text>
    </comment>
    <comment ref="H95" authorId="6">
      <text>
        <r>
          <rPr>
            <b/>
            <sz val="8"/>
            <rFont val="Tahoma"/>
            <family val="2"/>
          </rPr>
          <t>DD trưởng khoa CLS từ 01/12/08-30/11/13</t>
        </r>
      </text>
    </comment>
    <comment ref="D9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2.46 từ tháng 6/2010</t>
        </r>
      </text>
    </comment>
    <comment ref="D97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3.99 từ tháng 1/2010, 3.99 lên 4.32 từ 1/1/2013</t>
        </r>
      </text>
    </comment>
    <comment ref="D9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2/2010 từ 2.06 lên 2.26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2.66 lên 2.86 từ 01/02/2016</t>
        </r>
      </text>
    </comment>
    <comment ref="D10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2/2011
1.86 lên 2.06 từ 3/2/2013</t>
        </r>
      </text>
    </comment>
    <comment ref="D109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1.86 lên 2.06 từ 1/3/2012
2.06 lên 2.26 từ 01/3/2013</t>
        </r>
      </text>
    </comment>
    <comment ref="D111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từ tháng 2/2011
1.86 lên 2.06 từ 3/2/2013</t>
        </r>
      </text>
    </comment>
    <comment ref="D112" authorId="7">
      <text>
        <r>
          <rPr>
            <b/>
            <sz val="9"/>
            <rFont val="Tahoma"/>
            <family val="2"/>
          </rPr>
          <t>N4010:</t>
        </r>
        <r>
          <rPr>
            <sz val="9"/>
            <rFont val="Tahoma"/>
            <family val="2"/>
          </rPr>
          <t xml:space="preserve">
Nâng từ 1.79 lên 2.1 từ T8/2012
</t>
        </r>
        <r>
          <rPr>
            <b/>
            <sz val="9"/>
            <rFont val="Tahoma"/>
            <family val="2"/>
          </rPr>
          <t>Nhung:</t>
        </r>
        <r>
          <rPr>
            <sz val="9"/>
            <rFont val="Tahoma"/>
            <family val="2"/>
          </rPr>
          <t xml:space="preserve">
Nâng từ 2.26+chênh lệch bảo lưu 0.15 lên 2.46+hs chênh lệch bảo lưu 0.15 từ 11/02/2016
</t>
        </r>
      </text>
    </comment>
    <comment ref="D118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Nâng lương 1.58 lên 1.86 từ 01/02/2013
</t>
        </r>
      </text>
    </comment>
    <comment ref="H121" authorId="6">
      <text>
        <r>
          <rPr>
            <b/>
            <sz val="8"/>
            <rFont val="Tahoma"/>
            <family val="2"/>
          </rPr>
          <t>NGOCTUAN:</t>
        </r>
        <r>
          <rPr>
            <sz val="8"/>
            <rFont val="Tahoma"/>
            <family val="2"/>
          </rPr>
          <t xml:space="preserve">
PC TRƯỞNG KHOA LÂY TỪ 01/01/2010 ĐẾN 31/12/2014
</t>
        </r>
      </text>
    </comment>
    <comment ref="D3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3.46 lên 3.66 từ tháng 1/2010</t>
        </r>
      </text>
    </comment>
    <comment ref="D124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2.26 lên2.46 từ 01/6/2011
2.46 lên 2.66 từ 01/6/2013</t>
        </r>
      </text>
    </comment>
    <comment ref="D12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2,19 LÊN 2,37 TỪ 01/12/2012
</t>
        </r>
      </text>
    </comment>
    <comment ref="D16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3.99 từ tháng 6/2010</t>
        </r>
      </text>
    </comment>
    <comment ref="D133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2.46 lên 2.66 từ 01/5/2011
2.66 lên 2.86 từ 1/5/2013</t>
        </r>
      </text>
    </comment>
    <comment ref="D13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3.33 lên 3.66 từ ngày 01/09/2012</t>
        </r>
      </text>
    </comment>
    <comment ref="D140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2,37LÊN 2,55 TỪ 01/12/2012
</t>
        </r>
      </text>
    </comment>
    <comment ref="D143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3.66 lên 3.86 từ 01/1/2011
3.86 lên 4.06 từ 1/1/2013</t>
        </r>
      </text>
    </comment>
    <comment ref="D145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2.26 lên2.46 từ 01/6/2011
2.46 lên 2.66 từ 01/6/2013</t>
        </r>
      </text>
    </comment>
    <comment ref="D146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 lên 2,46 từ 01/07/2012
</t>
        </r>
      </text>
    </comment>
    <comment ref="D147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1.86 lên 2.06 từ 12/3/2011
2.06 lên 2.26 từ 12/3/2013</t>
        </r>
      </text>
    </comment>
    <comment ref="D148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2.46 từ tháng 1/2010</t>
        </r>
      </text>
    </comment>
    <comment ref="D14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2,26 LÊN 2,46 TỪ 01/12/2012</t>
        </r>
      </text>
    </comment>
    <comment ref="D150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1.86 lên 2.06 từ 12/3/2011
2.06 lên 2.26 từ 12/3/2013</t>
        </r>
      </text>
    </comment>
    <comment ref="D154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3.66 lên 3.86 từ tháng 1/2010</t>
        </r>
      </text>
    </comment>
    <comment ref="D169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2,19 LÊN 2,37 TỪ 01/12/2012
</t>
        </r>
      </text>
    </comment>
    <comment ref="D170" authorId="4">
      <text>
        <r>
          <rPr>
            <b/>
            <sz val="8"/>
            <rFont val="Tahoma"/>
            <family val="2"/>
          </rPr>
          <t>DADA:</t>
        </r>
        <r>
          <rPr>
            <sz val="8"/>
            <rFont val="Tahoma"/>
            <family val="2"/>
          </rPr>
          <t xml:space="preserve">
2.46 lên 2.66 từ 1/5/2011
2.66 lê 2.86 từ 1/5/2013</t>
        </r>
      </text>
    </comment>
    <comment ref="D172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nâng lương 2.26 lên 2.34 từ tháng 10/2010</t>
        </r>
      </text>
    </comment>
    <comment ref="D173" authorId="2">
      <text>
        <r>
          <rPr>
            <b/>
            <sz val="8"/>
            <rFont val="Tahoma"/>
            <family val="2"/>
          </rPr>
          <t>DA DA:</t>
        </r>
        <r>
          <rPr>
            <sz val="8"/>
            <rFont val="Tahoma"/>
            <family val="2"/>
          </rPr>
          <t xml:space="preserve">
2,37 LÊN 2,55 TỪ 01/12/2012</t>
        </r>
      </text>
    </comment>
    <comment ref="D27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2.26 lên 2.46 từ 01/03/2016
</t>
        </r>
      </text>
    </comment>
    <comment ref="D36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2.10 lên 2.41 từ 01/10/2015
</t>
        </r>
      </text>
    </comment>
    <comment ref="D20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1.65 lên 1.83 từ 04/11/2015
</t>
        </r>
      </text>
    </comment>
    <comment ref="I42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7% lên 8%
từ  ngày 01/01/2016</t>
        </r>
      </text>
    </comment>
    <comment ref="D51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Nâng HSL từ 2.67 lên 3.00 từ 01/10/2015
</t>
        </r>
      </text>
    </comment>
    <comment ref="I69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6% lên 7%
từ ngày 01/01/2016</t>
        </r>
      </text>
    </comment>
    <comment ref="D70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2.26 lên 2.46 từ 01/03/2016
</t>
        </r>
      </text>
    </comment>
    <comment ref="I77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0% lên 5% TỪ 01/01/2016
</t>
        </r>
      </text>
    </comment>
    <comment ref="I85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9% lên 10% từ 01/02/2016
</t>
        </r>
      </text>
    </comment>
    <comment ref="D87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2.67 lên 3.00  từ 01/10/2015
</t>
        </r>
      </text>
    </comment>
    <comment ref="D57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2.46 lên 2.66
từ 12/03/2016</t>
        </r>
      </text>
    </comment>
    <comment ref="D58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2.46 lên 2.66
từ 12/03/2016</t>
        </r>
      </text>
    </comment>
    <comment ref="D107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3.00 lên 3.33
từ 01/10/2015</t>
        </r>
      </text>
    </comment>
    <comment ref="D110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Hệ số cũ 2.41
Tăng hsl từ 2.46 lên 2.66 từ 03/02/2016
</t>
        </r>
      </text>
    </comment>
    <comment ref="D113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2.1 lên 2.26 từ 01/02/2016
</t>
        </r>
      </text>
    </comment>
    <comment ref="D94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3.66 lên 3.99
từ 01/01/2016</t>
        </r>
      </text>
    </comment>
    <comment ref="I154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11% lên 12% từ 01/01/2016
</t>
        </r>
      </text>
    </comment>
    <comment ref="D165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2.34 lên 2.67
từ 01/03/2016</t>
        </r>
      </text>
    </comment>
    <comment ref="D162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1.99 lên 2.34
từ ngày 18/02/2016
</t>
        </r>
      </text>
    </comment>
    <comment ref="I143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5% lên 6% từ 01/01/2016</t>
        </r>
      </text>
    </comment>
    <comment ref="D134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2.41 lên 2.46
từ 01/01/2016</t>
        </r>
      </text>
    </comment>
    <comment ref="I123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7% lên 8%
từ 01/01/2016</t>
        </r>
      </text>
    </comment>
    <comment ref="D127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1.58 lên 1.86 từ ngày 07/01/2016
</t>
        </r>
      </text>
    </comment>
    <comment ref="I122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5% lên 6%
từ 01/10/2015</t>
        </r>
      </text>
    </comment>
    <comment ref="I13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7% lên 8% từ ngày 01/01/2016</t>
        </r>
      </text>
    </comment>
    <comment ref="D45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Tăng hsl từ 2.86 lên 3.06 từ 1/2010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3.46 lên 3.66
từ 01/01/2016</t>
        </r>
      </text>
    </comment>
    <comment ref="H54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PCCV từ 0.3 lên 0.4 từ 27/04/2015
</t>
        </r>
      </text>
    </comment>
    <comment ref="D132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Tăng hsl từ 3.00 lên 3.33 từ 10/2012
</t>
        </r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3.33 lên 3.66 từ 01/10/2015
</t>
        </r>
      </text>
    </comment>
    <comment ref="H148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PCCV lên 0.4 từ ngày 27/04/2015
</t>
        </r>
      </text>
    </comment>
    <comment ref="D115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nâng lương từ 1.86 lên 2.06 từ 04/05/2016</t>
        </r>
      </text>
    </comment>
    <comment ref="D163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nâng lương từ 1.86 lên 2.06 từ 04/05/2016</t>
        </r>
      </text>
    </comment>
    <comment ref="D171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nâng lương từ 2.86 lên 3.06 từ 01/06/2016</t>
        </r>
      </text>
    </comment>
    <comment ref="D114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Nâng lương từ 1.86 lên 2.06 từ 04/05/2016</t>
        </r>
      </text>
    </comment>
    <comment ref="I144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5% lên 6% từ ngày 01/01/2016</t>
        </r>
      </text>
    </comment>
    <comment ref="D101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1.99 lên 2.34 từ 18/02/2016
</t>
        </r>
      </text>
    </comment>
    <comment ref="D102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2.26 lên 2.46 từ 01/03/2016</t>
        </r>
      </text>
    </comment>
    <comment ref="O50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Tháng sau kéo lại công thức</t>
        </r>
      </text>
    </comment>
    <comment ref="O163" authorId="3">
      <text>
        <r>
          <rPr>
            <b/>
            <sz val="8"/>
            <rFont val="Tahoma"/>
            <family val="2"/>
          </rPr>
          <t xml:space="preserve">Nhung:
</t>
        </r>
        <r>
          <rPr>
            <sz val="8"/>
            <rFont val="Tahoma"/>
            <family val="2"/>
          </rPr>
          <t>Tháng sau kéo lại công thức</t>
        </r>
        <r>
          <rPr>
            <b/>
            <sz val="8"/>
            <rFont val="Tahoma"/>
            <family val="2"/>
          </rPr>
          <t xml:space="preserve">
</t>
        </r>
      </text>
    </comment>
    <comment ref="O70" authorId="3">
      <text>
        <r>
          <rPr>
            <b/>
            <sz val="8"/>
            <rFont val="Tahoma"/>
            <family val="2"/>
          </rPr>
          <t>Nguyen Minh Hieu:</t>
        </r>
        <r>
          <rPr>
            <sz val="8"/>
            <rFont val="Tahoma"/>
            <family val="2"/>
          </rPr>
          <t xml:space="preserve">
Tháng sau kéo lại công thức
</t>
        </r>
      </text>
    </comment>
    <comment ref="O100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Tháng sau kéo lại CT
</t>
        </r>
      </text>
    </comment>
    <comment ref="O101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Tháng sau kéo lại CT
</t>
        </r>
      </text>
    </comment>
    <comment ref="L51" authorId="8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2.67 cũng 1.830.000 mà 3.00 cũng 1.830.000 nên ko truy lĩnh </t>
        </r>
      </text>
    </comment>
    <comment ref="O102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Tháng sau kéo lại CT</t>
        </r>
      </text>
    </comment>
    <comment ref="D128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hsl từ 2.26 lên 2.46
từ 01/03/2016</t>
        </r>
      </text>
    </comment>
    <comment ref="I41" authorId="3">
      <text>
        <r>
          <rPr>
            <b/>
            <sz val="8"/>
            <rFont val="Tahoma"/>
            <family val="2"/>
          </rPr>
          <t>Nhung:</t>
        </r>
        <r>
          <rPr>
            <sz val="8"/>
            <rFont val="Tahoma"/>
            <family val="2"/>
          </rPr>
          <t xml:space="preserve">
Tăng PCVK từ 5% lên 6%
từ 01/01/2016</t>
        </r>
      </text>
    </comment>
  </commentList>
</comments>
</file>

<file path=xl/sharedStrings.xml><?xml version="1.0" encoding="utf-8"?>
<sst xmlns="http://schemas.openxmlformats.org/spreadsheetml/2006/main" count="1064" uniqueCount="423">
  <si>
    <t>TRUNG TÂM Y TẾ 
THỊ XÃ HƯƠNG TRÀ</t>
  </si>
  <si>
    <t>Hệ số K so với quỹ lương trong quý:</t>
  </si>
  <si>
    <t>STT</t>
  </si>
  <si>
    <t>Họ và tên</t>
  </si>
  <si>
    <t>Bậc</t>
  </si>
  <si>
    <t>Hệ số
lương</t>
  </si>
  <si>
    <t>Trình độ</t>
  </si>
  <si>
    <t>Mức hỗ trợ</t>
  </si>
  <si>
    <t>Xếp loại</t>
  </si>
  <si>
    <t>Tổng HSL+PC</t>
  </si>
  <si>
    <t>Tổng tiền</t>
  </si>
  <si>
    <t>Thực nhận</t>
  </si>
  <si>
    <t>Ghi chú</t>
  </si>
  <si>
    <t>PCCV</t>
  </si>
  <si>
    <t>PCVK</t>
  </si>
  <si>
    <t>I</t>
  </si>
  <si>
    <t xml:space="preserve">BGĐ  + Phòng TC - HCQT </t>
  </si>
  <si>
    <t xml:space="preserve">Lê Đình Thao </t>
  </si>
  <si>
    <t>A21</t>
  </si>
  <si>
    <t>ĐH</t>
  </si>
  <si>
    <t>A</t>
  </si>
  <si>
    <t>Lê Đức Thịnh</t>
  </si>
  <si>
    <t>A4</t>
  </si>
  <si>
    <t>Nguyễn Thị Huê</t>
  </si>
  <si>
    <t>A9</t>
  </si>
  <si>
    <t>K</t>
  </si>
  <si>
    <t>Hoàng Tăng Phái</t>
  </si>
  <si>
    <t>B10</t>
  </si>
  <si>
    <t>CĐ</t>
  </si>
  <si>
    <t>Trương Thanh Hải</t>
  </si>
  <si>
    <t>B2</t>
  </si>
  <si>
    <t>Hồ Đại Thắng</t>
  </si>
  <si>
    <t>C12</t>
  </si>
  <si>
    <t>Thái Thanh Hùng</t>
  </si>
  <si>
    <t>D8</t>
  </si>
  <si>
    <t>Nguyễn Ánh</t>
  </si>
  <si>
    <t>D4</t>
  </si>
  <si>
    <t>Hồ Xuân Anh</t>
  </si>
  <si>
    <t>F3</t>
  </si>
  <si>
    <t>Nguyễn Thị Minh Đức</t>
  </si>
  <si>
    <t>C1</t>
  </si>
  <si>
    <t>Nguyễn Xuân Thanh</t>
  </si>
  <si>
    <t>F1</t>
  </si>
  <si>
    <t>Cộng</t>
  </si>
  <si>
    <t>II</t>
  </si>
  <si>
    <t>Phòng Tài Vụ</t>
  </si>
  <si>
    <t>Nguyễn Thị Hồng Mai</t>
  </si>
  <si>
    <t>A6</t>
  </si>
  <si>
    <t>B</t>
  </si>
  <si>
    <t>Trần Thị Chơi</t>
  </si>
  <si>
    <t>A1</t>
  </si>
  <si>
    <t>Nguyễn T Minh Hiếu</t>
  </si>
  <si>
    <t>B1</t>
  </si>
  <si>
    <t>Trần Giang Đông</t>
  </si>
  <si>
    <t>Hồ Thị Ngọc Nhung</t>
  </si>
  <si>
    <t>Hoàng Thị Thạnh</t>
  </si>
  <si>
    <t>Nguyễn Thị Linh Đa</t>
  </si>
  <si>
    <t>III</t>
  </si>
  <si>
    <t>Đoàn Thị Thu Nga</t>
  </si>
  <si>
    <t xml:space="preserve">Trần Thanh Vũ </t>
  </si>
  <si>
    <t>Phan Thanh Tùng</t>
  </si>
  <si>
    <t>Dương Vĩnh Hồng</t>
  </si>
  <si>
    <t>IV</t>
  </si>
  <si>
    <t>Đội CS - SKSS</t>
  </si>
  <si>
    <t>Phan Hữu Dũng</t>
  </si>
  <si>
    <t>A8</t>
  </si>
  <si>
    <t>Nguyễn Thị Bích Hạnh</t>
  </si>
  <si>
    <t>B11</t>
  </si>
  <si>
    <t>Thái Thị Kim Cúc</t>
  </si>
  <si>
    <t>B7</t>
  </si>
  <si>
    <t>Phan Thị Minh Thùy</t>
  </si>
  <si>
    <t>B6</t>
  </si>
  <si>
    <t>Lê Thị Thú</t>
  </si>
  <si>
    <t>Trần Thị Thanh Hà</t>
  </si>
  <si>
    <t>Trịnh Thị Thu Hường</t>
  </si>
  <si>
    <t>B4</t>
  </si>
  <si>
    <t>Nguyễn T Kim Chi</t>
  </si>
  <si>
    <t>Dương Thị Nhi</t>
  </si>
  <si>
    <t>B3</t>
  </si>
  <si>
    <t>Trần Thị Hạnh</t>
  </si>
  <si>
    <t>Dương Thị Hà</t>
  </si>
  <si>
    <t>V</t>
  </si>
  <si>
    <t>Nguyễn Văn Vinh</t>
  </si>
  <si>
    <t>Nguyễn Văn Tư</t>
  </si>
  <si>
    <t>A5</t>
  </si>
  <si>
    <t>Lê Quang Hiệp</t>
  </si>
  <si>
    <t>Lê Thị Ánh Tuyết</t>
  </si>
  <si>
    <t>A2</t>
  </si>
  <si>
    <t>Nguyễn Thị Xuân Lan</t>
  </si>
  <si>
    <t>B9</t>
  </si>
  <si>
    <t>Nguyễn Thị Mong</t>
  </si>
  <si>
    <t>Lê Thị Minh Hương</t>
  </si>
  <si>
    <t>Hoàng Thị Bích Huyền</t>
  </si>
  <si>
    <t>Lê Thị Thường Trang</t>
  </si>
  <si>
    <t>Lê Thị Thu Nguyệt</t>
  </si>
  <si>
    <t>Tống Thị Hoài Nhung</t>
  </si>
  <si>
    <t>C3</t>
  </si>
  <si>
    <t>Trần Thị Thúy</t>
  </si>
  <si>
    <t>Nguyễn Thị Như Thành</t>
  </si>
  <si>
    <t>Trương Xuân Liệu</t>
  </si>
  <si>
    <t>VI</t>
  </si>
  <si>
    <t>Khoa Dược</t>
  </si>
  <si>
    <t>Hoàng Tấn Tùng Chinh</t>
  </si>
  <si>
    <t>B12</t>
  </si>
  <si>
    <t>Trà Thành Nhân</t>
  </si>
  <si>
    <t>Dương Vĩnh Khánh</t>
  </si>
  <si>
    <t>Nguyễn Xuân Việt</t>
  </si>
  <si>
    <t>Võ Thị Hồng Hạnh</t>
  </si>
  <si>
    <t>Phạm Ngọc Hoàng</t>
  </si>
  <si>
    <t>E1</t>
  </si>
  <si>
    <t>Lê Thị Lành</t>
  </si>
  <si>
    <t>Cao Thị Thanh Huệ</t>
  </si>
  <si>
    <t>Mai Thị Hồng Duyên</t>
  </si>
  <si>
    <t>VII</t>
  </si>
  <si>
    <t>Khoa Cận Lâm Sàng</t>
  </si>
  <si>
    <t>Lê Thị Diệm</t>
  </si>
  <si>
    <t>Trương Văn Niên</t>
  </si>
  <si>
    <t>A3</t>
  </si>
  <si>
    <t>Hồ Thị Hà</t>
  </si>
  <si>
    <t>Nguyễn Đình Thanh</t>
  </si>
  <si>
    <t>Nguyễn Văn Phương</t>
  </si>
  <si>
    <t>Trần Ngọc Sử</t>
  </si>
  <si>
    <t>Trần Thị Thu Thủy</t>
  </si>
  <si>
    <t>Nguyễn Văn Đôn</t>
  </si>
  <si>
    <t>Phạm Thị Túy Kiều</t>
  </si>
  <si>
    <t>VIII</t>
  </si>
  <si>
    <t>Khoa KB - HSCC</t>
  </si>
  <si>
    <t>Lê Thanh Tiến</t>
  </si>
  <si>
    <t>A7</t>
  </si>
  <si>
    <t>Nguyễn Quốc Phương</t>
  </si>
  <si>
    <t>Thái Văn Tuấn</t>
  </si>
  <si>
    <t>Phan Thị Thanh Thuý</t>
  </si>
  <si>
    <t>Đặng Thị Thúy Oanh</t>
  </si>
  <si>
    <t>Nguyễn T Hồng Nhi</t>
  </si>
  <si>
    <t>Đỗ Tài</t>
  </si>
  <si>
    <t>Nguyễn T Ngọc Giao</t>
  </si>
  <si>
    <t>Nguyễn Thị Nhân</t>
  </si>
  <si>
    <t>Nguyễn Thị Thúy Hằng</t>
  </si>
  <si>
    <t>Phan Thị Ngân Hoa</t>
  </si>
  <si>
    <t>Trần Thị Mỹ Hương</t>
  </si>
  <si>
    <t>Trần Thị Ái Hằng</t>
  </si>
  <si>
    <t>C4</t>
  </si>
  <si>
    <t>Nguyễn Thị Mến</t>
  </si>
  <si>
    <t>Lê Thị Trâm</t>
  </si>
  <si>
    <t>Bùi Nguyễn Quang Vũ</t>
  </si>
  <si>
    <t>Trần Duy Kiến</t>
  </si>
  <si>
    <t>IX</t>
  </si>
  <si>
    <t>Khoa Lây Lao</t>
  </si>
  <si>
    <t>Trần Công Lĩnh</t>
  </si>
  <si>
    <t>Trần Ngọc Anh</t>
  </si>
  <si>
    <t>Nguyễn Thị Khánh Mỹ</t>
  </si>
  <si>
    <t>Trần Thị Hoài An</t>
  </si>
  <si>
    <t>Nguyễn T Kim Phượng</t>
  </si>
  <si>
    <t>Đặng Thị Phương Thảo</t>
  </si>
  <si>
    <t>Hoàng Thị Hồng Yến</t>
  </si>
  <si>
    <t>X</t>
  </si>
  <si>
    <t>Khoa Nội Nhi</t>
  </si>
  <si>
    <t>Trần Hữu Quang</t>
  </si>
  <si>
    <t>Đinh Thị Vân</t>
  </si>
  <si>
    <t>Phan Thị Hiền Nhi</t>
  </si>
  <si>
    <t>Lê Thị Loan</t>
  </si>
  <si>
    <t>Trần Lưu Quế</t>
  </si>
  <si>
    <t>Hồ Thị Phượng Ánh</t>
  </si>
  <si>
    <t>Lê Thị Ngọc Lan</t>
  </si>
  <si>
    <t>XI</t>
  </si>
  <si>
    <t>Khoa YHCT</t>
  </si>
  <si>
    <t>Nguyễn Thị Kim Thoa</t>
  </si>
  <si>
    <t>Đinh Văn Dũng</t>
  </si>
  <si>
    <t>Trần Thị Bé</t>
  </si>
  <si>
    <t>Phạm Hữu Hiến</t>
  </si>
  <si>
    <t xml:space="preserve">Lê Nguyễn Hồng Anh </t>
  </si>
  <si>
    <t>Trần Thanh Minh</t>
  </si>
  <si>
    <t>Lê Thị Thảo</t>
  </si>
  <si>
    <t>XII</t>
  </si>
  <si>
    <t>Đội YTDP</t>
  </si>
  <si>
    <t>Nguyễn Quốc Phòng</t>
  </si>
  <si>
    <t>Phan  Văn Duyệt</t>
  </si>
  <si>
    <t>Đinh Tiên Hoàn</t>
  </si>
  <si>
    <t>Dương Thị Thanh Thảo</t>
  </si>
  <si>
    <t>Hà Hoàng Kiều Nhi</t>
  </si>
  <si>
    <t>Hoàng Nữ Thu San</t>
  </si>
  <si>
    <t>Hoàng T Ngọc Trâm</t>
  </si>
  <si>
    <t>Lê Thị Hoài</t>
  </si>
  <si>
    <t>Lê Đình Tuấn</t>
  </si>
  <si>
    <t>Lê Quang Hoàng</t>
  </si>
  <si>
    <t>Khoa chống NK</t>
  </si>
  <si>
    <t xml:space="preserve">Trần Thị Hiền         </t>
  </si>
  <si>
    <t>Trần Bá Hạnh</t>
  </si>
  <si>
    <t>Nguyễn Thị Hoa Lê</t>
  </si>
  <si>
    <t>Nguyễn T Mỹ Hạnh</t>
  </si>
  <si>
    <t>Nguyễn Thị Hoài</t>
  </si>
  <si>
    <t>Tổng cộng</t>
  </si>
  <si>
    <t>Kế toán trưởng</t>
  </si>
  <si>
    <t>Thủ trưởng đơn vị</t>
  </si>
  <si>
    <t>Số tài khoản</t>
  </si>
  <si>
    <t xml:space="preserve">Ghi chú </t>
  </si>
  <si>
    <t xml:space="preserve">Nguyễn Thị Như Thành </t>
  </si>
  <si>
    <t>Trần Thị Thuý</t>
  </si>
  <si>
    <t xml:space="preserve">Thủ trưởng đơn vị </t>
  </si>
  <si>
    <t xml:space="preserve">Cộng </t>
  </si>
  <si>
    <t xml:space="preserve">Khoa điều trị tích cực và chống độc </t>
  </si>
  <si>
    <t>Khoa Ngoại</t>
  </si>
  <si>
    <t>Khoa Phụ Sản</t>
  </si>
  <si>
    <t>XIV</t>
  </si>
  <si>
    <t>XV</t>
  </si>
  <si>
    <t xml:space="preserve">Các khoản 
phụ cấp </t>
  </si>
  <si>
    <t>Dương Phan Huy Miên</t>
  </si>
  <si>
    <t>Phan Thị Thu Hà</t>
  </si>
  <si>
    <t>Dương Thị Thu</t>
  </si>
  <si>
    <t>Cột tạm</t>
  </si>
  <si>
    <t>Truy lĩnh</t>
  </si>
  <si>
    <t>Nguyễn Hiếu Thảo</t>
  </si>
  <si>
    <t>Lê Minh Hiếu</t>
  </si>
  <si>
    <t>Lê Thị Huyền Trang</t>
  </si>
  <si>
    <t>Huỳnh Thì Thanh Hải</t>
  </si>
  <si>
    <t>Huỳnh Thị Thanh Hải</t>
  </si>
  <si>
    <t>Trương Thị Thùy Nhung</t>
  </si>
  <si>
    <t>Phòng KHNV - ĐD</t>
  </si>
  <si>
    <t>Lê Văn Chinh</t>
  </si>
  <si>
    <t>Nguyễn Thị Cam</t>
  </si>
  <si>
    <t>Nguyễn Thị Hà</t>
  </si>
  <si>
    <t xml:space="preserve">Viết bằng chữ: </t>
  </si>
  <si>
    <t>Truy thu</t>
  </si>
  <si>
    <t>Nguyễn Thị Minh Hiếu</t>
  </si>
  <si>
    <t>Phan Thị Thanh Thúy</t>
  </si>
  <si>
    <t>Ngô Thanh Tài</t>
  </si>
  <si>
    <t>Nguyễn Tú</t>
  </si>
  <si>
    <t>Phan Văn Duyệt</t>
  </si>
  <si>
    <t>711AD1506349</t>
  </si>
  <si>
    <t>711AD1506352</t>
  </si>
  <si>
    <t>711AD1506364</t>
  </si>
  <si>
    <t xml:space="preserve">711A90306533 </t>
  </si>
  <si>
    <t>711AD1506376</t>
  </si>
  <si>
    <t>711AD1506391</t>
  </si>
  <si>
    <t>711AD1506409</t>
  </si>
  <si>
    <t>711AD1506412</t>
  </si>
  <si>
    <t>711AD1506424</t>
  </si>
  <si>
    <t>711AD1506436</t>
  </si>
  <si>
    <t>711AD1506443</t>
  </si>
  <si>
    <t>711AD1506451</t>
  </si>
  <si>
    <t xml:space="preserve">711A10443134 </t>
  </si>
  <si>
    <t>711AD1506463</t>
  </si>
  <si>
    <t xml:space="preserve">711AC2001184 </t>
  </si>
  <si>
    <t>711AD1507514</t>
  </si>
  <si>
    <t>711AD1507507</t>
  </si>
  <si>
    <t>711AD1507498</t>
  </si>
  <si>
    <t>711AD1507522</t>
  </si>
  <si>
    <t>711AD1506479</t>
  </si>
  <si>
    <t>711AD1507553</t>
  </si>
  <si>
    <t>711AD1507561</t>
  </si>
  <si>
    <t>711AD1507589</t>
  </si>
  <si>
    <t>711AD1507541</t>
  </si>
  <si>
    <t>711AD1507577</t>
  </si>
  <si>
    <t>711AD1507534</t>
  </si>
  <si>
    <t>711AD1507592</t>
  </si>
  <si>
    <t>711AD1507601</t>
  </si>
  <si>
    <t>711AD1507617</t>
  </si>
  <si>
    <t xml:space="preserve">711A77379421 </t>
  </si>
  <si>
    <t>711AD1507629</t>
  </si>
  <si>
    <t>711AD1507632</t>
  </si>
  <si>
    <t>711AD1507644</t>
  </si>
  <si>
    <t>711AD1507656</t>
  </si>
  <si>
    <t>711AD1507668</t>
  </si>
  <si>
    <t xml:space="preserve">711AA7070554 </t>
  </si>
  <si>
    <t>711AD1507671</t>
  </si>
  <si>
    <t>711AD1507683</t>
  </si>
  <si>
    <t>711AD1507695</t>
  </si>
  <si>
    <t>711AD1509367</t>
  </si>
  <si>
    <t>711AD1507704</t>
  </si>
  <si>
    <t xml:space="preserve">711AA3047715 </t>
  </si>
  <si>
    <t>711AD1507711</t>
  </si>
  <si>
    <t xml:space="preserve">711A06476353 </t>
  </si>
  <si>
    <t>711AD1507747</t>
  </si>
  <si>
    <t>711AD1507759</t>
  </si>
  <si>
    <t>711AD1507798</t>
  </si>
  <si>
    <t xml:space="preserve">711A21030731 </t>
  </si>
  <si>
    <t>711AD1507774</t>
  </si>
  <si>
    <t>711AD1507826</t>
  </si>
  <si>
    <t>711AD1507865</t>
  </si>
  <si>
    <t>711AD1507841</t>
  </si>
  <si>
    <t>711AD1507872</t>
  </si>
  <si>
    <t>711AD1507884</t>
  </si>
  <si>
    <t>711AD1507892</t>
  </si>
  <si>
    <t>711AD1507901</t>
  </si>
  <si>
    <t>711AD1507917</t>
  </si>
  <si>
    <t>711AD1507929</t>
  </si>
  <si>
    <t>711AD1507932</t>
  </si>
  <si>
    <t>711AD1507944</t>
  </si>
  <si>
    <t xml:space="preserve">711A06572716 </t>
  </si>
  <si>
    <t xml:space="preserve">711A06572625 </t>
  </si>
  <si>
    <t xml:space="preserve">711AC6571002 </t>
  </si>
  <si>
    <t>711AD1507968</t>
  </si>
  <si>
    <t>711AD1507971</t>
  </si>
  <si>
    <t>711AD1507983</t>
  </si>
  <si>
    <t>711AD1507995</t>
  </si>
  <si>
    <t>711AD1508017</t>
  </si>
  <si>
    <t>711AD1508029</t>
  </si>
  <si>
    <t>711AD1508032</t>
  </si>
  <si>
    <t>711AD1508044</t>
  </si>
  <si>
    <t>711AD1508056</t>
  </si>
  <si>
    <t>711AD1508068</t>
  </si>
  <si>
    <t>711AD1508071</t>
  </si>
  <si>
    <t xml:space="preserve">711A78829239 </t>
  </si>
  <si>
    <t>711AD1508083</t>
  </si>
  <si>
    <t>711AD1509797</t>
  </si>
  <si>
    <t>711AD1508095</t>
  </si>
  <si>
    <t xml:space="preserve">711A29359169 </t>
  </si>
  <si>
    <t>711AD1508108</t>
  </si>
  <si>
    <t xml:space="preserve">711AB6730438 </t>
  </si>
  <si>
    <t>711AD1508135</t>
  </si>
  <si>
    <t>711AD1508142</t>
  </si>
  <si>
    <t>711AD1508154</t>
  </si>
  <si>
    <t xml:space="preserve">711AC6572258 </t>
  </si>
  <si>
    <t>711AD1508162</t>
  </si>
  <si>
    <t xml:space="preserve">711A78631879 </t>
  </si>
  <si>
    <t>711AD1508178</t>
  </si>
  <si>
    <t xml:space="preserve">711A20174331 </t>
  </si>
  <si>
    <t>711AD1508553</t>
  </si>
  <si>
    <t xml:space="preserve">711A88183617 </t>
  </si>
  <si>
    <t>711AD1508538</t>
  </si>
  <si>
    <t>711AD1508526</t>
  </si>
  <si>
    <t>711AD1508514</t>
  </si>
  <si>
    <t>711AD1508481</t>
  </si>
  <si>
    <t xml:space="preserve">711A09084159 </t>
  </si>
  <si>
    <t xml:space="preserve">711A77375802 </t>
  </si>
  <si>
    <t>711AD1508462</t>
  </si>
  <si>
    <t>711AD1508478</t>
  </si>
  <si>
    <t>711AD1508411</t>
  </si>
  <si>
    <t xml:space="preserve">711A88183853 </t>
  </si>
  <si>
    <t>711AD1508423</t>
  </si>
  <si>
    <t>711AD1508435</t>
  </si>
  <si>
    <t>711AD1508442</t>
  </si>
  <si>
    <t xml:space="preserve">711A23926732 </t>
  </si>
  <si>
    <t>711AD1508375</t>
  </si>
  <si>
    <t>711AD1508387</t>
  </si>
  <si>
    <t xml:space="preserve">711A06564916 </t>
  </si>
  <si>
    <t xml:space="preserve">711A55828581 </t>
  </si>
  <si>
    <t xml:space="preserve">711A06564119 </t>
  </si>
  <si>
    <t>711AD1508363</t>
  </si>
  <si>
    <t>711AD1508226</t>
  </si>
  <si>
    <t>711AD1508399</t>
  </si>
  <si>
    <t xml:space="preserve">711A40149961 </t>
  </si>
  <si>
    <t>711AD1508241</t>
  </si>
  <si>
    <t>711AD1508265</t>
  </si>
  <si>
    <t xml:space="preserve">711AA7070918 </t>
  </si>
  <si>
    <t>711AD1508272</t>
  </si>
  <si>
    <t>711AD1508332</t>
  </si>
  <si>
    <t>711AD1508348</t>
  </si>
  <si>
    <t>711AD1508202</t>
  </si>
  <si>
    <t>711AD1510896</t>
  </si>
  <si>
    <t xml:space="preserve">711A06503554 </t>
  </si>
  <si>
    <t>711AD1508193</t>
  </si>
  <si>
    <t>711AD1508214</t>
  </si>
  <si>
    <t>711AD1508253</t>
  </si>
  <si>
    <t xml:space="preserve">711A06495611 </t>
  </si>
  <si>
    <t>711AD1507802</t>
  </si>
  <si>
    <t>711AD1507814</t>
  </si>
  <si>
    <t>711AD1784802</t>
  </si>
  <si>
    <t>5</t>
  </si>
  <si>
    <t>6</t>
  </si>
  <si>
    <t>7</t>
  </si>
  <si>
    <t>8=3+6+3*7</t>
  </si>
  <si>
    <t>9</t>
  </si>
  <si>
    <t>10</t>
  </si>
  <si>
    <t>11</t>
  </si>
  <si>
    <t>12</t>
  </si>
  <si>
    <t>13</t>
  </si>
  <si>
    <r>
      <t>A</t>
    </r>
    <r>
      <rPr>
        <vertAlign val="superscript"/>
        <sz val="12"/>
        <rFont val="Times New Roman"/>
        <family val="1"/>
      </rPr>
      <t>+</t>
    </r>
  </si>
  <si>
    <t>TRUNG TÂM Y TẾ</t>
  </si>
  <si>
    <t>THỊ XÃ HƯƠNG TRÀ</t>
  </si>
  <si>
    <t>Ngân hàng Công Thương Thừa Thiên Huế</t>
  </si>
  <si>
    <t>Số tài khoản : 463103008</t>
  </si>
  <si>
    <t>Số tiền</t>
  </si>
  <si>
    <t>TS tháng 8 /2016 - T01/2017</t>
  </si>
  <si>
    <t>TS từ T5 - 10/2016</t>
  </si>
  <si>
    <t>TS T9/2016 - T02/2017</t>
  </si>
  <si>
    <t>XVII</t>
  </si>
  <si>
    <t>Cán bộ hợp đồng</t>
  </si>
  <si>
    <t>Lê Thị Thùy Nhung</t>
  </si>
  <si>
    <t>Hoàng Thị Phụng</t>
  </si>
  <si>
    <t>Hồ Thị Ngọc Anh</t>
  </si>
  <si>
    <t>711AD2485262</t>
  </si>
  <si>
    <t>711AD2950972</t>
  </si>
  <si>
    <t>711AD2948527</t>
  </si>
  <si>
    <t>711A50144682</t>
  </si>
  <si>
    <t>TS T12/2016 - TT5/2017</t>
  </si>
  <si>
    <t>Đi học từ 14/11 - 31/12/2016</t>
  </si>
  <si>
    <t>Học T9 - 18/11/2016</t>
  </si>
  <si>
    <t>Học từ 14/11/2016</t>
  </si>
  <si>
    <t>Đặng Thị Mỹ Huệ</t>
  </si>
  <si>
    <t>Nhận công tác ngày 14/10/2016</t>
  </si>
  <si>
    <t>Học về ngày 17/11/2016</t>
  </si>
  <si>
    <t>Thai sản T12/2016 - T5/2017</t>
  </si>
  <si>
    <t>Học từ 17/10/2016</t>
  </si>
  <si>
    <t>Lê Thị Xuân Sang</t>
  </si>
  <si>
    <t>Trần Thị Ngân</t>
  </si>
  <si>
    <t>Chuyển công tác về TYT Hương Toàn T11/2016</t>
  </si>
  <si>
    <t>Học 14/10/2016</t>
  </si>
  <si>
    <t>Học 14/11/2016</t>
  </si>
  <si>
    <t>Nguyễn Thị Như Ngọc</t>
  </si>
  <si>
    <t>Hương trà, ngày       tháng     năm 2017</t>
  </si>
  <si>
    <t>Học 19,5 ngày</t>
  </si>
  <si>
    <t>Học T10/2016, Thai sản T11/2016 - T4/2017</t>
  </si>
  <si>
    <t>Học từ ngày 14/11/2016</t>
  </si>
  <si>
    <t>Ốm T11 + T12/2016: 8 ngày, Học về ngày 14/11/2016</t>
  </si>
  <si>
    <t>Học tập trung không tham gia làm</t>
  </si>
  <si>
    <t>Học tập trung không tham gia làm từ 15/12/2016</t>
  </si>
  <si>
    <t>Nghỉ ốm tháng 10/2016: 8 ngày</t>
  </si>
  <si>
    <t>Học T10/2016</t>
  </si>
  <si>
    <t>Lập bảng</t>
  </si>
  <si>
    <r>
      <t>Ghi chú: Cán bộ có HSL&lt;3,00 mà trình độ ĐH, CĐ thì được hỗ trợ thêm 300.000đ/quý và Cán bộ có HSL&lt; 3,00 mà trình độ khác được hỗ trợ thêm 200.000đ/quý nhưng không vượt quá HSL=3,00. Cán bộ xếp loại A</t>
    </r>
    <r>
      <rPr>
        <b/>
        <vertAlign val="superscript"/>
        <sz val="10"/>
        <rFont val="Times New Roman"/>
        <family val="1"/>
      </rPr>
      <t>+</t>
    </r>
    <r>
      <rPr>
        <b/>
        <sz val="10"/>
        <rFont val="Times New Roman"/>
        <family val="1"/>
      </rPr>
      <t xml:space="preserve"> sẽ cao hơn cán bộ xếp loại A (có cùng HSL và các khoản phụ cấp theo lương có đóng BHXH) là 200.000đ/quý.
Cán bộ đi học nếu có tham gia làm hoặc trực &gt; 4 ngày/ tháng thì được hưởng loại B, còn nếu tham gia làm hoặc trực &lt; 4 ngày/tháng thì được hưởng 50% loại B, còn nếu không tham gia làm hoặc trực thì không được hưởng thu nhập tăng thêm trong tháng. Hệ số K đơn vị được xác định là :610.000đ /quý</t>
    </r>
  </si>
  <si>
    <t>Về hưu ngày 01/11/2016</t>
  </si>
  <si>
    <t>711AD4993523</t>
  </si>
  <si>
    <t>711A48016927</t>
  </si>
  <si>
    <t>711A60250303</t>
  </si>
  <si>
    <t>711A78632973</t>
  </si>
  <si>
    <t>711A78629874</t>
  </si>
  <si>
    <t>Hương trà, ngày   tháng   năm 2017</t>
  </si>
  <si>
    <t>Chuyển công tác lên TTYT tháng 11/2016</t>
  </si>
  <si>
    <t>Truy lĩnh TNTT quý II/2015 và từ tháng 01 đến tháng 05/2016</t>
  </si>
  <si>
    <t>Truy lĩnh TNTT quý II năm 2016</t>
  </si>
  <si>
    <t>DANH SÁCH CÁN BỘ NHẬN TIỀN THU NHẬP TĂNG THÊM 
QUÝ IV NĂM 2016</t>
  </si>
  <si>
    <t>DANH SÁCH CÁN BỘ NHẬN TIỀN THU NHẬP TĂNG THÊM TỪ NGUỒN THU VIỆN PHÍ 
QUÝ IV NĂM 2016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</si>
</sst>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.##0"/>
    <numFmt numFmtId="173" formatCode="00000"/>
    <numFmt numFmtId="174" formatCode="0.000"/>
    <numFmt numFmtId="175" formatCode="#,##0;[Red]#,##0"/>
    <numFmt numFmtId="176" formatCode="0.0%"/>
    <numFmt numFmtId="177" formatCode="#.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##0.0"/>
    <numFmt numFmtId="183" formatCode="#,##0.0"/>
    <numFmt numFmtId="184" formatCode="#,##0.000"/>
    <numFmt numFmtId="185" formatCode="#,##0.0000"/>
    <numFmt numFmtId="186" formatCode="_(&quot;$&quot;* #.##0_);_(&quot;$&quot;* \(#.##0\);_(&quot;$&quot;* &quot;-&quot;_);_(@_)"/>
    <numFmt numFmtId="187" formatCode="#.##0.000"/>
    <numFmt numFmtId="188" formatCode="#.##0;[Red]#.##0"/>
    <numFmt numFmtId="189" formatCode="_ * #,##0.0_ ;_ * \-#,##0.0_ ;_ * &quot;-&quot;??_ ;_ @_ "/>
    <numFmt numFmtId="190" formatCode="_ * #,##0_ ;_ * \-#,##0_ ;_ * &quot;-&quot;??_ ;_ @_ "/>
    <numFmt numFmtId="191" formatCode="[$-409]dddd\,\ mmmm\ dd\,\ yyyy"/>
    <numFmt numFmtId="192" formatCode="[$-409]h:mm:ss\ AM/PM"/>
    <numFmt numFmtId="193" formatCode="0.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imes"/>
      <family val="2"/>
    </font>
    <font>
      <b/>
      <sz val="12"/>
      <name val="Times"/>
      <family val="2"/>
    </font>
    <font>
      <sz val="10"/>
      <name val="Arial"/>
      <family val="2"/>
    </font>
    <font>
      <sz val="12"/>
      <name val="Times"/>
      <family val="2"/>
    </font>
    <font>
      <b/>
      <sz val="11"/>
      <name val="Times"/>
      <family val="2"/>
    </font>
    <font>
      <sz val="11"/>
      <name val="Times"/>
      <family val="2"/>
    </font>
    <font>
      <sz val="11"/>
      <color indexed="8"/>
      <name val="Times"/>
      <family val="2"/>
    </font>
    <font>
      <b/>
      <sz val="11"/>
      <color indexed="16"/>
      <name val="Times"/>
      <family val="2"/>
    </font>
    <font>
      <b/>
      <sz val="12"/>
      <color indexed="16"/>
      <name val="Times"/>
      <family val="2"/>
    </font>
    <font>
      <i/>
      <sz val="12"/>
      <name val="Times"/>
      <family val="2"/>
    </font>
    <font>
      <sz val="11"/>
      <name val="Times New Roman"/>
      <family val="1"/>
    </font>
    <font>
      <sz val="12"/>
      <name val="Times New Roman"/>
      <family val="1"/>
    </font>
    <font>
      <sz val="2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2"/>
      <color indexed="1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i/>
      <sz val="9"/>
      <name val="Times New Roman"/>
      <family val="1"/>
    </font>
    <font>
      <b/>
      <sz val="16"/>
      <name val="Times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tted"/>
      <bottom style="hair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  <border>
      <left style="thin"/>
      <right style="double"/>
      <top style="hair"/>
      <bottom style="thin"/>
    </border>
    <border>
      <left style="thin"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/>
      <right/>
      <top style="double"/>
      <bottom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7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4" fontId="2" fillId="0" borderId="0" xfId="0" applyNumberFormat="1" applyFont="1" applyFill="1" applyAlignment="1" applyProtection="1">
      <alignment horizontal="center"/>
      <protection locked="0"/>
    </xf>
    <xf numFmtId="0" fontId="15" fillId="0" borderId="0" xfId="55" applyFont="1" applyFill="1" applyBorder="1">
      <alignment/>
      <protection/>
    </xf>
    <xf numFmtId="0" fontId="17" fillId="33" borderId="10" xfId="0" applyFont="1" applyFill="1" applyBorder="1" applyAlignment="1" applyProtection="1">
      <alignment horizontal="center"/>
      <protection locked="0"/>
    </xf>
    <xf numFmtId="0" fontId="17" fillId="33" borderId="11" xfId="0" applyFont="1" applyFill="1" applyBorder="1" applyAlignment="1" applyProtection="1">
      <alignment/>
      <protection locked="0"/>
    </xf>
    <xf numFmtId="175" fontId="17" fillId="33" borderId="12" xfId="0" applyNumberFormat="1" applyFont="1" applyFill="1" applyBorder="1" applyAlignment="1" applyProtection="1">
      <alignment/>
      <protection locked="0"/>
    </xf>
    <xf numFmtId="175" fontId="17" fillId="33" borderId="13" xfId="0" applyNumberFormat="1" applyFont="1" applyFill="1" applyBorder="1" applyAlignment="1" applyProtection="1">
      <alignment/>
      <protection locked="0"/>
    </xf>
    <xf numFmtId="0" fontId="17" fillId="33" borderId="12" xfId="0" applyFont="1" applyFill="1" applyBorder="1" applyAlignment="1" applyProtection="1">
      <alignment/>
      <protection locked="0"/>
    </xf>
    <xf numFmtId="0" fontId="17" fillId="33" borderId="14" xfId="0" applyFont="1" applyFill="1" applyBorder="1" applyAlignment="1" applyProtection="1">
      <alignment/>
      <protection locked="0"/>
    </xf>
    <xf numFmtId="175" fontId="17" fillId="33" borderId="15" xfId="0" applyNumberFormat="1" applyFont="1" applyFill="1" applyBorder="1" applyAlignment="1" applyProtection="1">
      <alignment/>
      <protection locked="0"/>
    </xf>
    <xf numFmtId="175" fontId="17" fillId="33" borderId="16" xfId="0" applyNumberFormat="1" applyFont="1" applyFill="1" applyBorder="1" applyAlignment="1" applyProtection="1">
      <alignment/>
      <protection locked="0"/>
    </xf>
    <xf numFmtId="0" fontId="18" fillId="33" borderId="14" xfId="0" applyFont="1" applyFill="1" applyBorder="1" applyAlignment="1" applyProtection="1">
      <alignment/>
      <protection locked="0"/>
    </xf>
    <xf numFmtId="175" fontId="18" fillId="33" borderId="15" xfId="0" applyNumberFormat="1" applyFont="1" applyFill="1" applyBorder="1" applyAlignment="1" applyProtection="1">
      <alignment/>
      <protection locked="0"/>
    </xf>
    <xf numFmtId="3" fontId="17" fillId="33" borderId="11" xfId="0" applyNumberFormat="1" applyFont="1" applyFill="1" applyBorder="1" applyAlignment="1" applyProtection="1">
      <alignment/>
      <protection locked="0"/>
    </xf>
    <xf numFmtId="3" fontId="17" fillId="33" borderId="16" xfId="0" applyNumberFormat="1" applyFont="1" applyFill="1" applyBorder="1" applyAlignment="1" applyProtection="1">
      <alignment/>
      <protection locked="0"/>
    </xf>
    <xf numFmtId="3" fontId="17" fillId="33" borderId="12" xfId="0" applyNumberFormat="1" applyFont="1" applyFill="1" applyBorder="1" applyAlignment="1" applyProtection="1">
      <alignment/>
      <protection locked="0"/>
    </xf>
    <xf numFmtId="3" fontId="17" fillId="33" borderId="13" xfId="0" applyNumberFormat="1" applyFont="1" applyFill="1" applyBorder="1" applyAlignment="1" applyProtection="1">
      <alignment/>
      <protection locked="0"/>
    </xf>
    <xf numFmtId="3" fontId="17" fillId="33" borderId="15" xfId="0" applyNumberFormat="1" applyFont="1" applyFill="1" applyBorder="1" applyAlignment="1" applyProtection="1">
      <alignment/>
      <protection locked="0"/>
    </xf>
    <xf numFmtId="0" fontId="17" fillId="33" borderId="17" xfId="0" applyFont="1" applyFill="1" applyBorder="1" applyAlignment="1" applyProtection="1">
      <alignment/>
      <protection locked="0"/>
    </xf>
    <xf numFmtId="3" fontId="19" fillId="33" borderId="18" xfId="0" applyNumberFormat="1" applyFont="1" applyFill="1" applyBorder="1" applyAlignment="1" applyProtection="1">
      <alignment horizontal="center"/>
      <protection/>
    </xf>
    <xf numFmtId="0" fontId="20" fillId="33" borderId="19" xfId="0" applyFont="1" applyFill="1" applyBorder="1" applyAlignment="1" applyProtection="1">
      <alignment horizontal="center"/>
      <protection locked="0"/>
    </xf>
    <xf numFmtId="3" fontId="20" fillId="33" borderId="20" xfId="0" applyNumberFormat="1" applyFont="1" applyFill="1" applyBorder="1" applyAlignment="1" applyProtection="1">
      <alignment horizontal="right"/>
      <protection locked="0"/>
    </xf>
    <xf numFmtId="3" fontId="20" fillId="33" borderId="21" xfId="0" applyNumberFormat="1" applyFont="1" applyFill="1" applyBorder="1" applyAlignment="1" applyProtection="1">
      <alignment horizontal="right"/>
      <protection locked="0"/>
    </xf>
    <xf numFmtId="0" fontId="15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12" fillId="0" borderId="0" xfId="0" applyNumberFormat="1" applyFont="1" applyFill="1" applyAlignment="1" applyProtection="1">
      <alignment vertical="center" wrapText="1"/>
      <protection locked="0"/>
    </xf>
    <xf numFmtId="176" fontId="2" fillId="0" borderId="0" xfId="0" applyNumberFormat="1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4" fontId="28" fillId="0" borderId="0" xfId="0" applyNumberFormat="1" applyFont="1" applyFill="1" applyAlignment="1" applyProtection="1">
      <alignment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0" borderId="23" xfId="0" applyFont="1" applyFill="1" applyBorder="1" applyAlignment="1" applyProtection="1">
      <alignment/>
      <protection locked="0"/>
    </xf>
    <xf numFmtId="0" fontId="23" fillId="0" borderId="24" xfId="0" applyFont="1" applyFill="1" applyBorder="1" applyAlignment="1" applyProtection="1">
      <alignment/>
      <protection locked="0"/>
    </xf>
    <xf numFmtId="4" fontId="31" fillId="0" borderId="25" xfId="0" applyNumberFormat="1" applyFont="1" applyFill="1" applyBorder="1" applyAlignment="1" applyProtection="1">
      <alignment horizontal="right" vertical="center"/>
      <protection/>
    </xf>
    <xf numFmtId="9" fontId="5" fillId="0" borderId="25" xfId="58" applyFont="1" applyFill="1" applyBorder="1" applyAlignment="1" applyProtection="1">
      <alignment vertical="center"/>
      <protection locked="0"/>
    </xf>
    <xf numFmtId="4" fontId="5" fillId="0" borderId="25" xfId="0" applyNumberFormat="1" applyFont="1" applyFill="1" applyBorder="1" applyAlignment="1" applyProtection="1">
      <alignment horizontal="right" vertical="center"/>
      <protection locked="0"/>
    </xf>
    <xf numFmtId="0" fontId="78" fillId="0" borderId="24" xfId="0" applyFont="1" applyFill="1" applyBorder="1" applyAlignment="1" applyProtection="1">
      <alignment/>
      <protection locked="0"/>
    </xf>
    <xf numFmtId="0" fontId="23" fillId="0" borderId="17" xfId="0" applyFont="1" applyFill="1" applyBorder="1" applyAlignment="1" applyProtection="1">
      <alignment/>
      <protection locked="0"/>
    </xf>
    <xf numFmtId="169" fontId="31" fillId="0" borderId="25" xfId="43" applyFont="1" applyFill="1" applyBorder="1" applyAlignment="1" applyProtection="1">
      <alignment horizontal="right" vertical="center"/>
      <protection/>
    </xf>
    <xf numFmtId="0" fontId="32" fillId="0" borderId="22" xfId="0" applyFont="1" applyFill="1" applyBorder="1" applyAlignment="1" applyProtection="1">
      <alignment/>
      <protection locked="0"/>
    </xf>
    <xf numFmtId="0" fontId="78" fillId="0" borderId="23" xfId="0" applyFont="1" applyFill="1" applyBorder="1" applyAlignment="1" applyProtection="1">
      <alignment vertical="center"/>
      <protection locked="0"/>
    </xf>
    <xf numFmtId="169" fontId="5" fillId="0" borderId="25" xfId="43" applyFont="1" applyFill="1" applyBorder="1" applyAlignment="1" applyProtection="1">
      <alignment horizontal="right" vertical="center"/>
      <protection locked="0"/>
    </xf>
    <xf numFmtId="0" fontId="23" fillId="0" borderId="26" xfId="0" applyFont="1" applyFill="1" applyBorder="1" applyAlignment="1" applyProtection="1">
      <alignment/>
      <protection locked="0"/>
    </xf>
    <xf numFmtId="0" fontId="23" fillId="0" borderId="22" xfId="0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 applyProtection="1">
      <alignment vertical="center"/>
      <protection locked="0"/>
    </xf>
    <xf numFmtId="0" fontId="23" fillId="0" borderId="23" xfId="0" applyFont="1" applyFill="1" applyBorder="1" applyAlignment="1" applyProtection="1">
      <alignment horizontal="left" vertical="center"/>
      <protection locked="0"/>
    </xf>
    <xf numFmtId="4" fontId="23" fillId="0" borderId="23" xfId="0" applyNumberFormat="1" applyFont="1" applyFill="1" applyBorder="1" applyAlignment="1" applyProtection="1">
      <alignment horizontal="right" vertical="center"/>
      <protection locked="0"/>
    </xf>
    <xf numFmtId="0" fontId="23" fillId="0" borderId="17" xfId="0" applyFont="1" applyFill="1" applyBorder="1" applyAlignment="1" applyProtection="1">
      <alignment vertical="center"/>
      <protection locked="0"/>
    </xf>
    <xf numFmtId="0" fontId="31" fillId="0" borderId="25" xfId="0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23" fillId="0" borderId="27" xfId="0" applyFont="1" applyFill="1" applyBorder="1" applyAlignment="1" applyProtection="1">
      <alignment/>
      <protection locked="0"/>
    </xf>
    <xf numFmtId="0" fontId="13" fillId="34" borderId="0" xfId="0" applyFont="1" applyFill="1" applyAlignment="1" applyProtection="1">
      <alignment horizontal="center"/>
      <protection locked="0"/>
    </xf>
    <xf numFmtId="0" fontId="23" fillId="0" borderId="24" xfId="0" applyFont="1" applyFill="1" applyBorder="1" applyAlignment="1" applyProtection="1">
      <alignment vertical="center"/>
      <protection locked="0"/>
    </xf>
    <xf numFmtId="9" fontId="31" fillId="0" borderId="25" xfId="58" applyFont="1" applyFill="1" applyBorder="1" applyAlignment="1" applyProtection="1">
      <alignment horizontal="right" vertical="center"/>
      <protection/>
    </xf>
    <xf numFmtId="175" fontId="17" fillId="33" borderId="28" xfId="0" applyNumberFormat="1" applyFont="1" applyFill="1" applyBorder="1" applyAlignment="1" applyProtection="1">
      <alignment/>
      <protection locked="0"/>
    </xf>
    <xf numFmtId="175" fontId="17" fillId="33" borderId="29" xfId="0" applyNumberFormat="1" applyFont="1" applyFill="1" applyBorder="1" applyAlignment="1" applyProtection="1">
      <alignment/>
      <protection locked="0"/>
    </xf>
    <xf numFmtId="9" fontId="5" fillId="0" borderId="25" xfId="58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>
      <alignment vertical="center"/>
    </xf>
    <xf numFmtId="3" fontId="31" fillId="0" borderId="25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/>
      <protection locked="0"/>
    </xf>
    <xf numFmtId="3" fontId="17" fillId="33" borderId="29" xfId="0" applyNumberFormat="1" applyFont="1" applyFill="1" applyBorder="1" applyAlignment="1" applyProtection="1">
      <alignment/>
      <protection locked="0"/>
    </xf>
    <xf numFmtId="4" fontId="31" fillId="0" borderId="25" xfId="0" applyNumberFormat="1" applyFont="1" applyFill="1" applyBorder="1" applyAlignment="1" applyProtection="1">
      <alignment horizontal="center" vertical="center"/>
      <protection/>
    </xf>
    <xf numFmtId="49" fontId="79" fillId="0" borderId="11" xfId="0" applyNumberFormat="1" applyFont="1" applyBorder="1" applyAlignment="1">
      <alignment horizontal="center"/>
    </xf>
    <xf numFmtId="0" fontId="17" fillId="0" borderId="11" xfId="0" applyFont="1" applyFill="1" applyBorder="1" applyAlignment="1" applyProtection="1">
      <alignment/>
      <protection locked="0"/>
    </xf>
    <xf numFmtId="49" fontId="22" fillId="0" borderId="11" xfId="0" applyNumberFormat="1" applyFont="1" applyFill="1" applyBorder="1" applyAlignment="1">
      <alignment horizontal="center"/>
    </xf>
    <xf numFmtId="3" fontId="17" fillId="0" borderId="16" xfId="0" applyNumberFormat="1" applyFont="1" applyFill="1" applyBorder="1" applyAlignment="1" applyProtection="1">
      <alignment/>
      <protection locked="0"/>
    </xf>
    <xf numFmtId="3" fontId="59" fillId="0" borderId="0" xfId="0" applyNumberFormat="1" applyFont="1" applyFill="1" applyAlignment="1">
      <alignment/>
    </xf>
    <xf numFmtId="175" fontId="59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0" fontId="17" fillId="0" borderId="14" xfId="0" applyFont="1" applyFill="1" applyBorder="1" applyAlignment="1" applyProtection="1">
      <alignment/>
      <protection locked="0"/>
    </xf>
    <xf numFmtId="49" fontId="79" fillId="0" borderId="11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90" fontId="23" fillId="0" borderId="0" xfId="42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172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/>
    </xf>
    <xf numFmtId="0" fontId="60" fillId="0" borderId="0" xfId="0" applyFont="1" applyFill="1" applyAlignment="1">
      <alignment/>
    </xf>
    <xf numFmtId="172" fontId="3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2" fillId="0" borderId="0" xfId="0" applyFont="1" applyFill="1" applyAlignment="1">
      <alignment vertical="center"/>
    </xf>
    <xf numFmtId="0" fontId="31" fillId="0" borderId="25" xfId="0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>
      <alignment vertical="center"/>
    </xf>
    <xf numFmtId="3" fontId="23" fillId="0" borderId="26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/>
    </xf>
    <xf numFmtId="49" fontId="36" fillId="0" borderId="0" xfId="0" applyNumberFormat="1" applyFont="1" applyFill="1" applyAlignment="1">
      <alignment horizontal="center" vertical="center"/>
    </xf>
    <xf numFmtId="49" fontId="3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 applyProtection="1">
      <alignment vertical="center"/>
      <protection locked="0"/>
    </xf>
    <xf numFmtId="173" fontId="23" fillId="0" borderId="11" xfId="0" applyNumberFormat="1" applyFont="1" applyFill="1" applyBorder="1" applyAlignment="1" applyProtection="1">
      <alignment vertical="center"/>
      <protection locked="0"/>
    </xf>
    <xf numFmtId="4" fontId="23" fillId="0" borderId="11" xfId="0" applyNumberFormat="1" applyFont="1" applyFill="1" applyBorder="1" applyAlignment="1" applyProtection="1">
      <alignment horizontal="right" vertical="center"/>
      <protection/>
    </xf>
    <xf numFmtId="4" fontId="23" fillId="0" borderId="11" xfId="0" applyNumberFormat="1" applyFont="1" applyFill="1" applyBorder="1" applyAlignment="1" applyProtection="1">
      <alignment horizontal="center" vertical="center"/>
      <protection/>
    </xf>
    <xf numFmtId="3" fontId="23" fillId="0" borderId="11" xfId="0" applyNumberFormat="1" applyFont="1" applyFill="1" applyBorder="1" applyAlignment="1" applyProtection="1">
      <alignment horizontal="right" vertical="center"/>
      <protection/>
    </xf>
    <xf numFmtId="3" fontId="23" fillId="0" borderId="11" xfId="0" applyNumberFormat="1" applyFont="1" applyFill="1" applyBorder="1" applyAlignment="1" applyProtection="1">
      <alignment horizontal="center" vertical="center"/>
      <protection/>
    </xf>
    <xf numFmtId="4" fontId="23" fillId="0" borderId="11" xfId="0" applyNumberFormat="1" applyFont="1" applyFill="1" applyBorder="1" applyAlignment="1" applyProtection="1">
      <alignment horizontal="right" vertical="center"/>
      <protection locked="0"/>
    </xf>
    <xf numFmtId="9" fontId="23" fillId="0" borderId="11" xfId="58" applyFont="1" applyFill="1" applyBorder="1" applyAlignment="1" applyProtection="1">
      <alignment horizontal="right" vertical="center"/>
      <protection locked="0"/>
    </xf>
    <xf numFmtId="4" fontId="23" fillId="0" borderId="11" xfId="0" applyNumberFormat="1" applyFont="1" applyFill="1" applyBorder="1" applyAlignment="1" applyProtection="1">
      <alignment horizontal="center" vertical="center"/>
      <protection locked="0"/>
    </xf>
    <xf numFmtId="4" fontId="23" fillId="0" borderId="11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left" vertical="center"/>
      <protection locked="0"/>
    </xf>
    <xf numFmtId="2" fontId="23" fillId="0" borderId="11" xfId="0" applyNumberFormat="1" applyFont="1" applyFill="1" applyBorder="1" applyAlignment="1" applyProtection="1">
      <alignment vertical="center"/>
      <protection locked="0"/>
    </xf>
    <xf numFmtId="9" fontId="23" fillId="0" borderId="11" xfId="59" applyFont="1" applyFill="1" applyBorder="1" applyAlignment="1" applyProtection="1">
      <alignment vertical="center"/>
      <protection locked="0"/>
    </xf>
    <xf numFmtId="9" fontId="23" fillId="0" borderId="11" xfId="58" applyFont="1" applyFill="1" applyBorder="1" applyAlignment="1" applyProtection="1">
      <alignment vertical="center"/>
      <protection locked="0"/>
    </xf>
    <xf numFmtId="173" fontId="23" fillId="0" borderId="11" xfId="0" applyNumberFormat="1" applyFont="1" applyFill="1" applyBorder="1" applyAlignment="1" applyProtection="1">
      <alignment horizontal="center" vertical="center"/>
      <protection locked="0"/>
    </xf>
    <xf numFmtId="9" fontId="23" fillId="0" borderId="11" xfId="58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173" fontId="23" fillId="0" borderId="12" xfId="0" applyNumberFormat="1" applyFont="1" applyFill="1" applyBorder="1" applyAlignment="1" applyProtection="1">
      <alignment vertical="center"/>
      <protection locked="0"/>
    </xf>
    <xf numFmtId="4" fontId="23" fillId="0" borderId="12" xfId="0" applyNumberFormat="1" applyFont="1" applyFill="1" applyBorder="1" applyAlignment="1" applyProtection="1">
      <alignment horizontal="right" vertical="center"/>
      <protection/>
    </xf>
    <xf numFmtId="4" fontId="23" fillId="0" borderId="12" xfId="0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Fill="1" applyBorder="1" applyAlignment="1" applyProtection="1">
      <alignment horizontal="right" vertical="center"/>
      <protection/>
    </xf>
    <xf numFmtId="3" fontId="23" fillId="0" borderId="12" xfId="0" applyNumberFormat="1" applyFont="1" applyFill="1" applyBorder="1" applyAlignment="1" applyProtection="1">
      <alignment horizontal="center" vertical="center"/>
      <protection/>
    </xf>
    <xf numFmtId="4" fontId="23" fillId="0" borderId="12" xfId="0" applyNumberFormat="1" applyFont="1" applyFill="1" applyBorder="1" applyAlignment="1" applyProtection="1">
      <alignment horizontal="right" vertical="center"/>
      <protection locked="0"/>
    </xf>
    <xf numFmtId="9" fontId="23" fillId="0" borderId="12" xfId="58" applyFont="1" applyFill="1" applyBorder="1" applyAlignment="1" applyProtection="1">
      <alignment horizontal="right" vertical="center"/>
      <protection locked="0"/>
    </xf>
    <xf numFmtId="3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vertical="center"/>
      <protection locked="0"/>
    </xf>
    <xf numFmtId="173" fontId="23" fillId="0" borderId="14" xfId="0" applyNumberFormat="1" applyFont="1" applyFill="1" applyBorder="1" applyAlignment="1" applyProtection="1">
      <alignment vertical="center"/>
      <protection locked="0"/>
    </xf>
    <xf numFmtId="4" fontId="23" fillId="0" borderId="14" xfId="0" applyNumberFormat="1" applyFont="1" applyFill="1" applyBorder="1" applyAlignment="1" applyProtection="1">
      <alignment horizontal="right" vertical="center"/>
      <protection/>
    </xf>
    <xf numFmtId="4" fontId="23" fillId="0" borderId="14" xfId="0" applyNumberFormat="1" applyFont="1" applyFill="1" applyBorder="1" applyAlignment="1" applyProtection="1">
      <alignment horizontal="center" vertical="center"/>
      <protection/>
    </xf>
    <xf numFmtId="3" fontId="23" fillId="0" borderId="14" xfId="0" applyNumberFormat="1" applyFont="1" applyFill="1" applyBorder="1" applyAlignment="1" applyProtection="1">
      <alignment horizontal="right" vertical="center"/>
      <protection/>
    </xf>
    <xf numFmtId="3" fontId="23" fillId="0" borderId="14" xfId="0" applyNumberFormat="1" applyFont="1" applyFill="1" applyBorder="1" applyAlignment="1" applyProtection="1">
      <alignment horizontal="center" vertical="center"/>
      <protection/>
    </xf>
    <xf numFmtId="4" fontId="23" fillId="0" borderId="14" xfId="0" applyNumberFormat="1" applyFont="1" applyFill="1" applyBorder="1" applyAlignment="1" applyProtection="1">
      <alignment horizontal="right" vertical="center"/>
      <protection locked="0"/>
    </xf>
    <xf numFmtId="9" fontId="23" fillId="0" borderId="14" xfId="58" applyFont="1" applyFill="1" applyBorder="1" applyAlignment="1" applyProtection="1">
      <alignment horizontal="righ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horizontal="left" vertical="center"/>
      <protection locked="0"/>
    </xf>
    <xf numFmtId="4" fontId="23" fillId="0" borderId="12" xfId="0" applyNumberFormat="1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Fill="1" applyBorder="1" applyAlignment="1" applyProtection="1">
      <alignment horizontal="center" vertical="center"/>
      <protection locked="0"/>
    </xf>
    <xf numFmtId="2" fontId="23" fillId="0" borderId="12" xfId="0" applyNumberFormat="1" applyFont="1" applyFill="1" applyBorder="1" applyAlignment="1" applyProtection="1">
      <alignment vertical="center"/>
      <protection locked="0"/>
    </xf>
    <xf numFmtId="9" fontId="23" fillId="0" borderId="12" xfId="58" applyFont="1" applyFill="1" applyBorder="1" applyAlignment="1" applyProtection="1">
      <alignment vertical="center"/>
      <protection locked="0"/>
    </xf>
    <xf numFmtId="2" fontId="23" fillId="0" borderId="14" xfId="0" applyNumberFormat="1" applyFont="1" applyFill="1" applyBorder="1" applyAlignment="1" applyProtection="1">
      <alignment vertical="center"/>
      <protection locked="0"/>
    </xf>
    <xf numFmtId="9" fontId="23" fillId="0" borderId="14" xfId="59" applyFont="1" applyFill="1" applyBorder="1" applyAlignment="1" applyProtection="1">
      <alignment vertical="center"/>
      <protection locked="0"/>
    </xf>
    <xf numFmtId="9" fontId="23" fillId="0" borderId="14" xfId="58" applyFont="1" applyFill="1" applyBorder="1" applyAlignment="1" applyProtection="1">
      <alignment vertical="center"/>
      <protection locked="0"/>
    </xf>
    <xf numFmtId="0" fontId="23" fillId="0" borderId="30" xfId="0" applyFont="1" applyFill="1" applyBorder="1" applyAlignment="1" applyProtection="1">
      <alignment vertical="center"/>
      <protection locked="0"/>
    </xf>
    <xf numFmtId="0" fontId="23" fillId="0" borderId="31" xfId="0" applyFont="1" applyFill="1" applyBorder="1" applyAlignment="1" applyProtection="1">
      <alignment/>
      <protection locked="0"/>
    </xf>
    <xf numFmtId="0" fontId="23" fillId="0" borderId="30" xfId="0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 applyProtection="1">
      <alignment horizontal="left"/>
      <protection/>
    </xf>
    <xf numFmtId="3" fontId="23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59" fillId="0" borderId="0" xfId="0" applyFont="1" applyFill="1" applyAlignment="1">
      <alignment horizontal="left"/>
    </xf>
    <xf numFmtId="0" fontId="23" fillId="0" borderId="26" xfId="0" applyFont="1" applyFill="1" applyBorder="1" applyAlignment="1">
      <alignment horizontal="left" vertical="center"/>
    </xf>
    <xf numFmtId="0" fontId="23" fillId="0" borderId="26" xfId="0" applyFont="1" applyFill="1" applyBorder="1" applyAlignment="1" applyProtection="1">
      <alignment horizontal="left" vertical="center"/>
      <protection locked="0"/>
    </xf>
    <xf numFmtId="4" fontId="23" fillId="0" borderId="26" xfId="0" applyNumberFormat="1" applyFont="1" applyFill="1" applyBorder="1" applyAlignment="1" applyProtection="1">
      <alignment horizontal="left" vertical="center"/>
      <protection/>
    </xf>
    <xf numFmtId="4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3" fillId="0" borderId="26" xfId="0" applyNumberFormat="1" applyFont="1" applyFill="1" applyBorder="1" applyAlignment="1" applyProtection="1">
      <alignment horizontal="center" vertical="center"/>
      <protection/>
    </xf>
    <xf numFmtId="4" fontId="23" fillId="0" borderId="26" xfId="0" applyNumberFormat="1" applyFont="1" applyFill="1" applyBorder="1" applyAlignment="1" applyProtection="1">
      <alignment horizontal="right" vertical="center"/>
      <protection locked="0"/>
    </xf>
    <xf numFmtId="9" fontId="23" fillId="0" borderId="26" xfId="58" applyFont="1" applyFill="1" applyBorder="1" applyAlignment="1" applyProtection="1">
      <alignment horizontal="left" vertical="center"/>
      <protection/>
    </xf>
    <xf numFmtId="3" fontId="23" fillId="0" borderId="26" xfId="0" applyNumberFormat="1" applyFont="1" applyFill="1" applyBorder="1" applyAlignment="1" applyProtection="1">
      <alignment horizontal="left" vertical="center"/>
      <protection/>
    </xf>
    <xf numFmtId="0" fontId="23" fillId="0" borderId="23" xfId="0" applyFont="1" applyFill="1" applyBorder="1" applyAlignment="1">
      <alignment horizontal="left" vertical="center"/>
    </xf>
    <xf numFmtId="4" fontId="23" fillId="0" borderId="23" xfId="0" applyNumberFormat="1" applyFont="1" applyFill="1" applyBorder="1" applyAlignment="1" applyProtection="1">
      <alignment horizontal="left" vertical="center"/>
      <protection/>
    </xf>
    <xf numFmtId="4" fontId="23" fillId="0" borderId="23" xfId="0" applyNumberFormat="1" applyFont="1" applyFill="1" applyBorder="1" applyAlignment="1" applyProtection="1">
      <alignment horizontal="center" vertical="center"/>
      <protection/>
    </xf>
    <xf numFmtId="3" fontId="23" fillId="0" borderId="23" xfId="0" applyNumberFormat="1" applyFont="1" applyFill="1" applyBorder="1" applyAlignment="1" applyProtection="1">
      <alignment horizontal="right" vertical="center"/>
      <protection/>
    </xf>
    <xf numFmtId="3" fontId="23" fillId="0" borderId="23" xfId="0" applyNumberFormat="1" applyFont="1" applyFill="1" applyBorder="1" applyAlignment="1" applyProtection="1">
      <alignment horizontal="center" vertical="center"/>
      <protection/>
    </xf>
    <xf numFmtId="9" fontId="23" fillId="0" borderId="23" xfId="58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>
      <alignment horizontal="left" vertical="center"/>
    </xf>
    <xf numFmtId="0" fontId="23" fillId="0" borderId="27" xfId="0" applyFont="1" applyFill="1" applyBorder="1" applyAlignment="1" applyProtection="1">
      <alignment horizontal="left" vertical="center"/>
      <protection locked="0"/>
    </xf>
    <xf numFmtId="4" fontId="23" fillId="0" borderId="27" xfId="0" applyNumberFormat="1" applyFont="1" applyFill="1" applyBorder="1" applyAlignment="1" applyProtection="1">
      <alignment horizontal="left" vertical="center"/>
      <protection/>
    </xf>
    <xf numFmtId="4" fontId="23" fillId="0" borderId="27" xfId="0" applyNumberFormat="1" applyFont="1" applyFill="1" applyBorder="1" applyAlignment="1" applyProtection="1">
      <alignment horizontal="center" vertical="center"/>
      <protection/>
    </xf>
    <xf numFmtId="3" fontId="23" fillId="0" borderId="27" xfId="0" applyNumberFormat="1" applyFont="1" applyFill="1" applyBorder="1" applyAlignment="1" applyProtection="1">
      <alignment horizontal="right" vertical="center"/>
      <protection/>
    </xf>
    <xf numFmtId="3" fontId="23" fillId="0" borderId="27" xfId="0" applyNumberFormat="1" applyFont="1" applyFill="1" applyBorder="1" applyAlignment="1" applyProtection="1">
      <alignment horizontal="center" vertical="center"/>
      <protection/>
    </xf>
    <xf numFmtId="9" fontId="23" fillId="0" borderId="27" xfId="58" applyFont="1" applyFill="1" applyBorder="1" applyAlignment="1" applyProtection="1">
      <alignment horizontal="left" vertical="center"/>
      <protection/>
    </xf>
    <xf numFmtId="4" fontId="23" fillId="0" borderId="27" xfId="0" applyNumberFormat="1" applyFont="1" applyFill="1" applyBorder="1" applyAlignment="1" applyProtection="1">
      <alignment horizontal="right" vertical="center"/>
      <protection locked="0"/>
    </xf>
    <xf numFmtId="3" fontId="23" fillId="0" borderId="27" xfId="0" applyNumberFormat="1" applyFont="1" applyFill="1" applyBorder="1" applyAlignment="1" applyProtection="1">
      <alignment horizontal="left" vertical="center"/>
      <protection/>
    </xf>
    <xf numFmtId="49" fontId="3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0" fontId="31" fillId="0" borderId="32" xfId="0" applyFont="1" applyFill="1" applyBorder="1" applyAlignment="1" applyProtection="1">
      <alignment horizontal="center" vertical="center"/>
      <protection locked="0"/>
    </xf>
    <xf numFmtId="0" fontId="27" fillId="0" borderId="34" xfId="0" applyFont="1" applyFill="1" applyBorder="1" applyAlignment="1" applyProtection="1">
      <alignment horizontal="center" vertical="center"/>
      <protection locked="0"/>
    </xf>
    <xf numFmtId="0" fontId="27" fillId="0" borderId="35" xfId="0" applyFont="1" applyFill="1" applyBorder="1" applyAlignment="1" applyProtection="1">
      <alignment horizontal="center" vertical="center"/>
      <protection locked="0"/>
    </xf>
    <xf numFmtId="0" fontId="27" fillId="0" borderId="36" xfId="0" applyFont="1" applyFill="1" applyBorder="1" applyAlignment="1" applyProtection="1">
      <alignment horizontal="center" vertical="center"/>
      <protection locked="0"/>
    </xf>
    <xf numFmtId="3" fontId="31" fillId="0" borderId="32" xfId="0" applyNumberFormat="1" applyFont="1" applyFill="1" applyBorder="1" applyAlignment="1" applyProtection="1">
      <alignment horizontal="center" vertical="center"/>
      <protection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4" fontId="5" fillId="0" borderId="38" xfId="0" applyNumberFormat="1" applyFont="1" applyFill="1" applyBorder="1" applyAlignment="1" applyProtection="1">
      <alignment horizontal="center" vertical="center"/>
      <protection/>
    </xf>
    <xf numFmtId="4" fontId="5" fillId="0" borderId="38" xfId="0" applyNumberFormat="1" applyFont="1" applyFill="1" applyBorder="1" applyAlignment="1" applyProtection="1">
      <alignment horizontal="right" vertical="center"/>
      <protection/>
    </xf>
    <xf numFmtId="4" fontId="31" fillId="0" borderId="38" xfId="0" applyNumberFormat="1" applyFont="1" applyFill="1" applyBorder="1" applyAlignment="1" applyProtection="1">
      <alignment horizontal="right" vertical="center"/>
      <protection/>
    </xf>
    <xf numFmtId="3" fontId="31" fillId="0" borderId="38" xfId="0" applyNumberFormat="1" applyFont="1" applyFill="1" applyBorder="1" applyAlignment="1" applyProtection="1">
      <alignment horizontal="right" vertical="center"/>
      <protection/>
    </xf>
    <xf numFmtId="0" fontId="23" fillId="0" borderId="11" xfId="0" applyFont="1" applyFill="1" applyBorder="1" applyAlignment="1">
      <alignment horizontal="left" vertical="center"/>
    </xf>
    <xf numFmtId="0" fontId="23" fillId="0" borderId="39" xfId="0" applyFont="1" applyFill="1" applyBorder="1" applyAlignment="1">
      <alignment horizontal="left" vertical="center"/>
    </xf>
    <xf numFmtId="0" fontId="23" fillId="0" borderId="39" xfId="0" applyFont="1" applyFill="1" applyBorder="1" applyAlignment="1" applyProtection="1">
      <alignment/>
      <protection locked="0"/>
    </xf>
    <xf numFmtId="3" fontId="17" fillId="33" borderId="40" xfId="0" applyNumberFormat="1" applyFont="1" applyFill="1" applyBorder="1" applyAlignment="1" applyProtection="1">
      <alignment/>
      <protection locked="0"/>
    </xf>
    <xf numFmtId="4" fontId="5" fillId="0" borderId="0" xfId="0" applyNumberFormat="1" applyFont="1" applyFill="1" applyBorder="1" applyAlignment="1" applyProtection="1">
      <alignment vertical="center"/>
      <protection/>
    </xf>
    <xf numFmtId="3" fontId="19" fillId="33" borderId="19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Alignment="1" applyProtection="1">
      <alignment/>
      <protection locked="0"/>
    </xf>
    <xf numFmtId="4" fontId="39" fillId="0" borderId="0" xfId="0" applyNumberFormat="1" applyFont="1" applyFill="1" applyAlignment="1" applyProtection="1">
      <alignment/>
      <protection locked="0"/>
    </xf>
    <xf numFmtId="4" fontId="39" fillId="0" borderId="0" xfId="0" applyNumberFormat="1" applyFont="1" applyFill="1" applyAlignment="1" applyProtection="1">
      <alignment horizontal="center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40" fillId="0" borderId="0" xfId="0" applyFont="1" applyFill="1" applyBorder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/>
      <protection locked="0"/>
    </xf>
    <xf numFmtId="4" fontId="23" fillId="0" borderId="14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/>
      <protection locked="0"/>
    </xf>
    <xf numFmtId="0" fontId="22" fillId="33" borderId="41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 applyProtection="1">
      <alignment/>
      <protection locked="0"/>
    </xf>
    <xf numFmtId="49" fontId="36" fillId="0" borderId="42" xfId="0" applyNumberFormat="1" applyFont="1" applyFill="1" applyBorder="1" applyAlignment="1">
      <alignment horizontal="left" vertical="center"/>
    </xf>
    <xf numFmtId="3" fontId="23" fillId="0" borderId="43" xfId="0" applyNumberFormat="1" applyFont="1" applyFill="1" applyBorder="1" applyAlignment="1" applyProtection="1">
      <alignment horizontal="left" vertical="center"/>
      <protection/>
    </xf>
    <xf numFmtId="184" fontId="23" fillId="0" borderId="44" xfId="0" applyNumberFormat="1" applyFont="1" applyFill="1" applyBorder="1" applyAlignment="1" applyProtection="1">
      <alignment horizontal="left" vertical="center"/>
      <protection/>
    </xf>
    <xf numFmtId="3" fontId="31" fillId="0" borderId="42" xfId="0" applyNumberFormat="1" applyFont="1" applyFill="1" applyBorder="1" applyAlignment="1" applyProtection="1">
      <alignment horizontal="left" vertical="center"/>
      <protection/>
    </xf>
    <xf numFmtId="3" fontId="23" fillId="0" borderId="44" xfId="0" applyNumberFormat="1" applyFont="1" applyFill="1" applyBorder="1" applyAlignment="1" applyProtection="1">
      <alignment horizontal="left" vertical="center"/>
      <protection/>
    </xf>
    <xf numFmtId="3" fontId="5" fillId="0" borderId="42" xfId="0" applyNumberFormat="1" applyFont="1" applyFill="1" applyBorder="1" applyAlignment="1" applyProtection="1">
      <alignment horizontal="left" vertical="center"/>
      <protection/>
    </xf>
    <xf numFmtId="0" fontId="23" fillId="0" borderId="41" xfId="0" applyFont="1" applyFill="1" applyBorder="1" applyAlignment="1">
      <alignment vertical="center"/>
    </xf>
    <xf numFmtId="3" fontId="23" fillId="0" borderId="45" xfId="0" applyNumberFormat="1" applyFont="1" applyFill="1" applyBorder="1" applyAlignment="1" applyProtection="1">
      <alignment horizontal="left" vertical="center"/>
      <protection/>
    </xf>
    <xf numFmtId="169" fontId="31" fillId="0" borderId="42" xfId="43" applyFont="1" applyFill="1" applyBorder="1" applyAlignment="1" applyProtection="1">
      <alignment horizontal="left" vertical="center"/>
      <protection/>
    </xf>
    <xf numFmtId="0" fontId="23" fillId="0" borderId="29" xfId="0" applyFont="1" applyFill="1" applyBorder="1" applyAlignment="1">
      <alignment vertical="center"/>
    </xf>
    <xf numFmtId="3" fontId="23" fillId="0" borderId="29" xfId="0" applyNumberFormat="1" applyFont="1" applyFill="1" applyBorder="1" applyAlignment="1" applyProtection="1">
      <alignment horizontal="left" vertical="center"/>
      <protection/>
    </xf>
    <xf numFmtId="3" fontId="80" fillId="0" borderId="43" xfId="0" applyNumberFormat="1" applyFont="1" applyFill="1" applyBorder="1" applyAlignment="1" applyProtection="1">
      <alignment horizontal="left" vertical="center"/>
      <protection/>
    </xf>
    <xf numFmtId="169" fontId="5" fillId="0" borderId="42" xfId="43" applyFont="1" applyFill="1" applyBorder="1" applyAlignment="1" applyProtection="1">
      <alignment horizontal="left" vertical="center"/>
      <protection locked="0"/>
    </xf>
    <xf numFmtId="3" fontId="23" fillId="0" borderId="46" xfId="0" applyNumberFormat="1" applyFont="1" applyFill="1" applyBorder="1" applyAlignment="1" applyProtection="1">
      <alignment horizontal="left" vertical="center"/>
      <protection/>
    </xf>
    <xf numFmtId="3" fontId="23" fillId="0" borderId="43" xfId="0" applyNumberFormat="1" applyFont="1" applyFill="1" applyBorder="1" applyAlignment="1" applyProtection="1">
      <alignment horizontal="left" vertical="center" wrapText="1"/>
      <protection/>
    </xf>
    <xf numFmtId="3" fontId="23" fillId="0" borderId="47" xfId="0" applyNumberFormat="1" applyFont="1" applyFill="1" applyBorder="1" applyAlignment="1" applyProtection="1">
      <alignment horizontal="left" vertical="center"/>
      <protection/>
    </xf>
    <xf numFmtId="3" fontId="23" fillId="0" borderId="48" xfId="0" applyNumberFormat="1" applyFont="1" applyFill="1" applyBorder="1" applyAlignment="1" applyProtection="1">
      <alignment horizontal="left" vertical="center"/>
      <protection/>
    </xf>
    <xf numFmtId="3" fontId="31" fillId="0" borderId="49" xfId="0" applyNumberFormat="1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center"/>
      <protection locked="0"/>
    </xf>
    <xf numFmtId="0" fontId="13" fillId="34" borderId="0" xfId="0" applyFont="1" applyFill="1" applyAlignment="1" applyProtection="1">
      <alignment/>
      <protection locked="0"/>
    </xf>
    <xf numFmtId="0" fontId="13" fillId="34" borderId="50" xfId="0" applyFont="1" applyFill="1" applyBorder="1" applyAlignment="1" applyProtection="1">
      <alignment horizontal="center" vertical="center" wrapText="1"/>
      <protection locked="0"/>
    </xf>
    <xf numFmtId="3" fontId="80" fillId="0" borderId="12" xfId="0" applyNumberFormat="1" applyFont="1" applyFill="1" applyBorder="1" applyAlignment="1" applyProtection="1">
      <alignment horizontal="right" vertical="center"/>
      <protection/>
    </xf>
    <xf numFmtId="0" fontId="17" fillId="33" borderId="33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 horizontal="center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3" fontId="29" fillId="0" borderId="50" xfId="0" applyNumberFormat="1" applyFont="1" applyFill="1" applyBorder="1" applyAlignment="1" applyProtection="1">
      <alignment horizontal="center" vertical="center" wrapText="1"/>
      <protection locked="0"/>
    </xf>
    <xf numFmtId="172" fontId="29" fillId="0" borderId="51" xfId="0" applyNumberFormat="1" applyFont="1" applyFill="1" applyBorder="1" applyAlignment="1">
      <alignment horizontal="center" vertical="center"/>
    </xf>
    <xf numFmtId="172" fontId="29" fillId="0" borderId="52" xfId="0" applyNumberFormat="1" applyFont="1" applyFill="1" applyBorder="1" applyAlignment="1">
      <alignment horizontal="center" vertical="center"/>
    </xf>
    <xf numFmtId="0" fontId="29" fillId="0" borderId="0" xfId="0" applyFont="1" applyFill="1" applyAlignment="1" applyProtection="1">
      <alignment horizontal="center" wrapText="1"/>
      <protection locked="0"/>
    </xf>
    <xf numFmtId="3" fontId="35" fillId="0" borderId="0" xfId="0" applyNumberFormat="1" applyFont="1" applyFill="1" applyAlignment="1" applyProtection="1">
      <alignment horizontal="center" vertical="center" wrapText="1"/>
      <protection locked="0"/>
    </xf>
    <xf numFmtId="172" fontId="3" fillId="0" borderId="0" xfId="0" applyNumberFormat="1" applyFont="1" applyFill="1" applyAlignment="1">
      <alignment horizontal="left"/>
    </xf>
    <xf numFmtId="0" fontId="29" fillId="0" borderId="53" xfId="0" applyFont="1" applyFill="1" applyBorder="1" applyAlignment="1" applyProtection="1">
      <alignment horizontal="center" vertical="center" wrapText="1"/>
      <protection locked="0"/>
    </xf>
    <xf numFmtId="0" fontId="29" fillId="0" borderId="32" xfId="0" applyFont="1" applyFill="1" applyBorder="1" applyAlignment="1" applyProtection="1">
      <alignment horizontal="center" vertical="center" wrapText="1"/>
      <protection locked="0"/>
    </xf>
    <xf numFmtId="0" fontId="29" fillId="0" borderId="50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172" fontId="29" fillId="0" borderId="50" xfId="0" applyNumberFormat="1" applyFont="1" applyFill="1" applyBorder="1" applyAlignment="1">
      <alignment horizontal="center" vertical="center"/>
    </xf>
    <xf numFmtId="172" fontId="29" fillId="0" borderId="25" xfId="0" applyNumberFormat="1" applyFont="1" applyFill="1" applyBorder="1" applyAlignment="1">
      <alignment horizontal="center" vertical="center"/>
    </xf>
    <xf numFmtId="3" fontId="29" fillId="0" borderId="50" xfId="0" applyNumberFormat="1" applyFont="1" applyFill="1" applyBorder="1" applyAlignment="1">
      <alignment horizontal="center" vertical="center"/>
    </xf>
    <xf numFmtId="3" fontId="29" fillId="0" borderId="25" xfId="0" applyNumberFormat="1" applyFont="1" applyFill="1" applyBorder="1" applyAlignment="1">
      <alignment horizontal="center" vertical="center"/>
    </xf>
    <xf numFmtId="4" fontId="29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left" vertical="center"/>
      <protection locked="0"/>
    </xf>
    <xf numFmtId="0" fontId="31" fillId="0" borderId="42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25" xfId="0" applyFont="1" applyFill="1" applyBorder="1" applyAlignment="1">
      <alignment horizontal="left" vertical="center"/>
    </xf>
    <xf numFmtId="0" fontId="31" fillId="0" borderId="42" xfId="0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3" fontId="29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alignment horizontal="center"/>
      <protection locked="0"/>
    </xf>
    <xf numFmtId="0" fontId="38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0" fillId="0" borderId="25" xfId="0" applyFont="1" applyFill="1" applyBorder="1" applyAlignment="1" applyProtection="1">
      <alignment horizontal="left" vertical="center"/>
      <protection locked="0"/>
    </xf>
    <xf numFmtId="0" fontId="30" fillId="0" borderId="42" xfId="0" applyFont="1" applyFill="1" applyBorder="1" applyAlignment="1" applyProtection="1">
      <alignment horizontal="left" vertical="center"/>
      <protection locked="0"/>
    </xf>
    <xf numFmtId="0" fontId="21" fillId="33" borderId="0" xfId="0" applyFont="1" applyFill="1" applyAlignment="1" applyProtection="1">
      <alignment horizontal="center"/>
      <protection locked="0"/>
    </xf>
    <xf numFmtId="0" fontId="13" fillId="34" borderId="0" xfId="0" applyFont="1" applyFill="1" applyAlignment="1" applyProtection="1">
      <alignment horizontal="center"/>
      <protection locked="0"/>
    </xf>
    <xf numFmtId="3" fontId="37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/>
      <protection locked="0"/>
    </xf>
    <xf numFmtId="0" fontId="16" fillId="34" borderId="53" xfId="0" applyFont="1" applyFill="1" applyBorder="1" applyAlignment="1" applyProtection="1">
      <alignment horizontal="center" vertical="center" wrapText="1"/>
      <protection locked="0"/>
    </xf>
    <xf numFmtId="0" fontId="16" fillId="34" borderId="32" xfId="0" applyFont="1" applyFill="1" applyBorder="1" applyAlignment="1" applyProtection="1">
      <alignment horizontal="center" vertical="center" wrapText="1"/>
      <protection locked="0"/>
    </xf>
    <xf numFmtId="0" fontId="13" fillId="34" borderId="50" xfId="0" applyFont="1" applyFill="1" applyBorder="1" applyAlignment="1" applyProtection="1">
      <alignment horizontal="center" vertical="center" wrapText="1"/>
      <protection locked="0"/>
    </xf>
    <xf numFmtId="0" fontId="13" fillId="34" borderId="25" xfId="0" applyFont="1" applyFill="1" applyBorder="1" applyAlignment="1" applyProtection="1">
      <alignment horizontal="center" vertical="center" wrapText="1"/>
      <protection locked="0"/>
    </xf>
    <xf numFmtId="0" fontId="29" fillId="0" borderId="54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 locked="0"/>
    </xf>
    <xf numFmtId="0" fontId="13" fillId="33" borderId="55" xfId="0" applyFont="1" applyFill="1" applyBorder="1" applyAlignment="1" applyProtection="1">
      <alignment horizontal="center" vertical="center" wrapText="1"/>
      <protection locked="0"/>
    </xf>
    <xf numFmtId="0" fontId="13" fillId="33" borderId="56" xfId="0" applyFont="1" applyFill="1" applyBorder="1" applyAlignment="1" applyProtection="1">
      <alignment horizontal="center" vertical="center" wrapText="1"/>
      <protection locked="0"/>
    </xf>
    <xf numFmtId="3" fontId="22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Percent 4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3"/>
  <sheetViews>
    <sheetView tabSelected="1" zoomScale="80" zoomScaleNormal="80" workbookViewId="0" topLeftCell="A1">
      <selection activeCell="A4" sqref="A4"/>
    </sheetView>
  </sheetViews>
  <sheetFormatPr defaultColWidth="9.140625" defaultRowHeight="15"/>
  <cols>
    <col min="1" max="1" width="9.57421875" style="2" customWidth="1"/>
    <col min="2" max="2" width="36.140625" style="3" customWidth="1"/>
    <col min="3" max="3" width="12.140625" style="3" hidden="1" customWidth="1"/>
    <col min="4" max="4" width="8.00390625" style="34" customWidth="1"/>
    <col min="5" max="5" width="9.00390625" style="5" hidden="1" customWidth="1"/>
    <col min="6" max="6" width="14.28125" style="4" hidden="1" customWidth="1"/>
    <col min="7" max="7" width="13.57421875" style="5" customWidth="1"/>
    <col min="8" max="8" width="7.140625" style="3" customWidth="1"/>
    <col min="9" max="9" width="8.28125" style="3" customWidth="1"/>
    <col min="10" max="10" width="10.57421875" style="3" customWidth="1"/>
    <col min="11" max="11" width="16.57421875" style="82" hidden="1" customWidth="1"/>
    <col min="12" max="12" width="16.7109375" style="83" customWidth="1"/>
    <col min="13" max="13" width="0.13671875" style="83" hidden="1" customWidth="1"/>
    <col min="14" max="14" width="22.57421875" style="84" hidden="1" customWidth="1"/>
    <col min="15" max="15" width="17.140625" style="84" hidden="1" customWidth="1"/>
    <col min="16" max="16" width="22.00390625" style="84" customWidth="1"/>
    <col min="17" max="17" width="60.8515625" style="150" customWidth="1"/>
    <col min="18" max="16384" width="9.140625" style="74" customWidth="1"/>
  </cols>
  <sheetData>
    <row r="1" spans="1:10" ht="35.25" customHeight="1">
      <c r="A1" s="239" t="s">
        <v>0</v>
      </c>
      <c r="B1" s="239"/>
      <c r="C1" s="239"/>
      <c r="D1" s="239"/>
      <c r="E1" s="80"/>
      <c r="F1" s="81"/>
      <c r="G1" s="80"/>
      <c r="H1" s="1"/>
      <c r="I1" s="1"/>
      <c r="J1" s="1"/>
    </row>
    <row r="2" spans="1:17" s="86" customFormat="1" ht="62.25" customHeight="1">
      <c r="A2" s="240" t="s">
        <v>422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</row>
    <row r="3" spans="1:17" ht="32.25" customHeight="1" hidden="1">
      <c r="A3" s="241" t="s">
        <v>1</v>
      </c>
      <c r="B3" s="241"/>
      <c r="C3" s="241"/>
      <c r="D3" s="241"/>
      <c r="E3" s="241"/>
      <c r="F3" s="241"/>
      <c r="G3" s="241"/>
      <c r="H3" s="241"/>
      <c r="I3" s="241"/>
      <c r="J3" s="87"/>
      <c r="K3" s="33">
        <v>610000</v>
      </c>
      <c r="L3" s="33"/>
      <c r="M3" s="33"/>
      <c r="N3" s="33">
        <f>3*$K$3</f>
        <v>1830000</v>
      </c>
      <c r="O3" s="33"/>
      <c r="P3" s="33"/>
      <c r="Q3" s="151"/>
    </row>
    <row r="4" spans="1:17" ht="17.25" thickBot="1">
      <c r="A4" s="89"/>
      <c r="B4" s="90"/>
      <c r="C4" s="90"/>
      <c r="D4" s="88"/>
      <c r="E4" s="91"/>
      <c r="F4" s="90"/>
      <c r="G4" s="91"/>
      <c r="H4" s="90"/>
      <c r="I4" s="90"/>
      <c r="J4" s="90"/>
      <c r="K4" s="33"/>
      <c r="L4" s="33"/>
      <c r="M4" s="33"/>
      <c r="N4" s="33"/>
      <c r="O4" s="33"/>
      <c r="P4" s="33"/>
      <c r="Q4" s="151"/>
    </row>
    <row r="5" spans="1:17" s="92" customFormat="1" ht="34.5" customHeight="1" thickTop="1">
      <c r="A5" s="242" t="s">
        <v>2</v>
      </c>
      <c r="B5" s="244" t="s">
        <v>3</v>
      </c>
      <c r="C5" s="244" t="s">
        <v>4</v>
      </c>
      <c r="D5" s="250" t="s">
        <v>5</v>
      </c>
      <c r="E5" s="250" t="s">
        <v>6</v>
      </c>
      <c r="F5" s="250" t="s">
        <v>7</v>
      </c>
      <c r="G5" s="250" t="s">
        <v>8</v>
      </c>
      <c r="H5" s="236" t="s">
        <v>205</v>
      </c>
      <c r="I5" s="236"/>
      <c r="J5" s="236" t="s">
        <v>9</v>
      </c>
      <c r="K5" s="246" t="s">
        <v>209</v>
      </c>
      <c r="L5" s="248" t="s">
        <v>210</v>
      </c>
      <c r="M5" s="248" t="s">
        <v>222</v>
      </c>
      <c r="N5" s="246" t="s">
        <v>10</v>
      </c>
      <c r="O5" s="246" t="s">
        <v>11</v>
      </c>
      <c r="P5" s="246" t="s">
        <v>11</v>
      </c>
      <c r="Q5" s="237" t="s">
        <v>12</v>
      </c>
    </row>
    <row r="6" spans="1:17" s="92" customFormat="1" ht="23.25" customHeight="1">
      <c r="A6" s="243"/>
      <c r="B6" s="245"/>
      <c r="C6" s="245"/>
      <c r="D6" s="251"/>
      <c r="E6" s="251"/>
      <c r="F6" s="251"/>
      <c r="G6" s="251"/>
      <c r="H6" s="128" t="s">
        <v>13</v>
      </c>
      <c r="I6" s="128" t="s">
        <v>14</v>
      </c>
      <c r="J6" s="258"/>
      <c r="K6" s="247"/>
      <c r="L6" s="249"/>
      <c r="M6" s="249"/>
      <c r="N6" s="247"/>
      <c r="O6" s="247"/>
      <c r="P6" s="247"/>
      <c r="Q6" s="238"/>
    </row>
    <row r="7" spans="1:17" s="99" customFormat="1" ht="23.25" customHeight="1" hidden="1">
      <c r="A7" s="178">
        <v>1</v>
      </c>
      <c r="B7" s="100">
        <v>2</v>
      </c>
      <c r="C7" s="100"/>
      <c r="D7" s="100">
        <v>3</v>
      </c>
      <c r="E7" s="100">
        <v>4</v>
      </c>
      <c r="F7" s="100"/>
      <c r="G7" s="100" t="s">
        <v>358</v>
      </c>
      <c r="H7" s="100" t="s">
        <v>359</v>
      </c>
      <c r="I7" s="100" t="s">
        <v>360</v>
      </c>
      <c r="J7" s="100" t="s">
        <v>361</v>
      </c>
      <c r="K7" s="101" t="s">
        <v>362</v>
      </c>
      <c r="L7" s="101" t="s">
        <v>363</v>
      </c>
      <c r="M7" s="101" t="s">
        <v>364</v>
      </c>
      <c r="N7" s="101" t="s">
        <v>365</v>
      </c>
      <c r="O7" s="101" t="s">
        <v>366</v>
      </c>
      <c r="P7" s="101"/>
      <c r="Q7" s="211"/>
    </row>
    <row r="8" spans="1:17" s="92" customFormat="1" ht="19.5" customHeight="1">
      <c r="A8" s="179" t="s">
        <v>15</v>
      </c>
      <c r="B8" s="262" t="s">
        <v>16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3"/>
    </row>
    <row r="9" spans="1:17" s="63" customFormat="1" ht="19.5" customHeight="1">
      <c r="A9" s="180">
        <v>1</v>
      </c>
      <c r="B9" s="120" t="s">
        <v>17</v>
      </c>
      <c r="C9" s="121" t="s">
        <v>18</v>
      </c>
      <c r="D9" s="122">
        <v>5.42</v>
      </c>
      <c r="E9" s="123" t="s">
        <v>19</v>
      </c>
      <c r="F9" s="124">
        <f aca="true" t="shared" si="0" ref="F9:F21">IF(E9="ĐH",300000,IF(E9="CĐ",300000,200000))</f>
        <v>300000</v>
      </c>
      <c r="G9" s="109" t="s">
        <v>48</v>
      </c>
      <c r="H9" s="126">
        <v>0.7</v>
      </c>
      <c r="I9" s="127"/>
      <c r="J9" s="126">
        <f>D9+H9+I9*D9</f>
        <v>6.12</v>
      </c>
      <c r="K9" s="124">
        <f aca="true" t="shared" si="1" ref="K9:K21">ROUND(IF(AND(E9="ĐH",J9&lt;=3),$K$3*J9+300000,IF(AND(E9="CĐ",J9&lt;=3),J9*$K$3+300000,IF(AND(E9="K",J9&lt;=3),J9*$K$3+200000,J9*$K$3))),-2)</f>
        <v>3733200</v>
      </c>
      <c r="L9" s="124"/>
      <c r="M9" s="124"/>
      <c r="N9" s="124">
        <f aca="true" t="shared" si="2" ref="N9:N21">ROUND(IF(AND(J9&lt;=3,K9&gt;$N$3),$N$3,K9),-2)</f>
        <v>3733200</v>
      </c>
      <c r="O9" s="124">
        <f aca="true" t="shared" si="3" ref="O9:O21">ROUND(IF(G9="A+",(N9*100%+L9-M9+200000),IF(G9="A",(N9*100%+L9-M9),IF(G9="B",(N9*80%+L9-M9),(N9*60%+L9-M9)))),-2)</f>
        <v>2986600</v>
      </c>
      <c r="P9" s="124">
        <f>O9</f>
        <v>2986600</v>
      </c>
      <c r="Q9" s="212" t="s">
        <v>407</v>
      </c>
    </row>
    <row r="10" spans="1:17" s="63" customFormat="1" ht="19.5" customHeight="1">
      <c r="A10" s="181">
        <v>2</v>
      </c>
      <c r="B10" s="104" t="s">
        <v>21</v>
      </c>
      <c r="C10" s="105" t="s">
        <v>22</v>
      </c>
      <c r="D10" s="106">
        <v>4.32</v>
      </c>
      <c r="E10" s="107" t="s">
        <v>19</v>
      </c>
      <c r="F10" s="108">
        <f t="shared" si="0"/>
        <v>300000</v>
      </c>
      <c r="G10" s="109" t="s">
        <v>367</v>
      </c>
      <c r="H10" s="110">
        <v>0.5</v>
      </c>
      <c r="I10" s="111"/>
      <c r="J10" s="110">
        <f aca="true" t="shared" si="4" ref="J10:J21">D10+H10+I10*D10</f>
        <v>4.82</v>
      </c>
      <c r="K10" s="108">
        <f t="shared" si="1"/>
        <v>2940200</v>
      </c>
      <c r="L10" s="108"/>
      <c r="M10" s="108"/>
      <c r="N10" s="108">
        <f t="shared" si="2"/>
        <v>2940200</v>
      </c>
      <c r="O10" s="124">
        <f t="shared" si="3"/>
        <v>3140200</v>
      </c>
      <c r="P10" s="124">
        <f>O10</f>
        <v>3140200</v>
      </c>
      <c r="Q10" s="212"/>
    </row>
    <row r="11" spans="1:17" s="63" customFormat="1" ht="19.5" customHeight="1">
      <c r="A11" s="181">
        <v>3</v>
      </c>
      <c r="B11" s="104" t="s">
        <v>85</v>
      </c>
      <c r="C11" s="105" t="s">
        <v>22</v>
      </c>
      <c r="D11" s="106">
        <v>4.32</v>
      </c>
      <c r="E11" s="112" t="s">
        <v>19</v>
      </c>
      <c r="F11" s="108">
        <f>IF(E11="ĐH",300000,IF(E11="CĐ",300000,200000))</f>
        <v>300000</v>
      </c>
      <c r="G11" s="109" t="s">
        <v>20</v>
      </c>
      <c r="H11" s="110">
        <v>0.5</v>
      </c>
      <c r="I11" s="111"/>
      <c r="J11" s="110">
        <f t="shared" si="4"/>
        <v>4.82</v>
      </c>
      <c r="K11" s="108">
        <f t="shared" si="1"/>
        <v>2940200</v>
      </c>
      <c r="L11" s="108"/>
      <c r="M11" s="108"/>
      <c r="N11" s="108">
        <f t="shared" si="2"/>
        <v>2940200</v>
      </c>
      <c r="O11" s="124">
        <f t="shared" si="3"/>
        <v>2940200</v>
      </c>
      <c r="P11" s="124">
        <f>ROUND((O11/3*2+80%*O11/3),-2)</f>
        <v>2744200</v>
      </c>
      <c r="Q11" s="212"/>
    </row>
    <row r="12" spans="1:17" s="63" customFormat="1" ht="23.25" customHeight="1">
      <c r="A12" s="181">
        <v>4</v>
      </c>
      <c r="B12" s="104" t="s">
        <v>39</v>
      </c>
      <c r="C12" s="105" t="s">
        <v>40</v>
      </c>
      <c r="D12" s="106">
        <v>4.65</v>
      </c>
      <c r="E12" s="107" t="s">
        <v>19</v>
      </c>
      <c r="F12" s="108">
        <f>IF(E12="ĐH",300000,IF(E12="CĐ",300000,200000))</f>
        <v>300000</v>
      </c>
      <c r="G12" s="109" t="s">
        <v>20</v>
      </c>
      <c r="H12" s="110">
        <v>0.4</v>
      </c>
      <c r="I12" s="111"/>
      <c r="J12" s="110">
        <f t="shared" si="4"/>
        <v>5.050000000000001</v>
      </c>
      <c r="K12" s="108">
        <f t="shared" si="1"/>
        <v>3080500</v>
      </c>
      <c r="L12" s="108"/>
      <c r="M12" s="108"/>
      <c r="N12" s="108">
        <f t="shared" si="2"/>
        <v>3080500</v>
      </c>
      <c r="O12" s="124">
        <f t="shared" si="3"/>
        <v>3080500</v>
      </c>
      <c r="P12" s="124">
        <f aca="true" t="shared" si="5" ref="P12:P20">O12</f>
        <v>3080500</v>
      </c>
      <c r="Q12" s="212"/>
    </row>
    <row r="13" spans="1:17" s="63" customFormat="1" ht="22.5" customHeight="1">
      <c r="A13" s="181">
        <v>5</v>
      </c>
      <c r="B13" s="104" t="s">
        <v>23</v>
      </c>
      <c r="C13" s="105" t="s">
        <v>24</v>
      </c>
      <c r="D13" s="106">
        <v>4.06</v>
      </c>
      <c r="E13" s="107" t="s">
        <v>25</v>
      </c>
      <c r="F13" s="108">
        <f t="shared" si="0"/>
        <v>200000</v>
      </c>
      <c r="G13" s="109" t="s">
        <v>20</v>
      </c>
      <c r="H13" s="110"/>
      <c r="I13" s="111">
        <v>0.08</v>
      </c>
      <c r="J13" s="110">
        <f t="shared" si="4"/>
        <v>4.384799999999999</v>
      </c>
      <c r="K13" s="108">
        <f t="shared" si="1"/>
        <v>2674700</v>
      </c>
      <c r="L13" s="108"/>
      <c r="M13" s="108"/>
      <c r="N13" s="108">
        <f t="shared" si="2"/>
        <v>2674700</v>
      </c>
      <c r="O13" s="124">
        <f t="shared" si="3"/>
        <v>2674700</v>
      </c>
      <c r="P13" s="124">
        <f t="shared" si="5"/>
        <v>2674700</v>
      </c>
      <c r="Q13" s="212"/>
    </row>
    <row r="14" spans="1:17" s="63" customFormat="1" ht="19.5" customHeight="1">
      <c r="A14" s="181">
        <v>6</v>
      </c>
      <c r="B14" s="104" t="s">
        <v>26</v>
      </c>
      <c r="C14" s="105" t="s">
        <v>27</v>
      </c>
      <c r="D14" s="106">
        <v>3.03</v>
      </c>
      <c r="E14" s="107" t="s">
        <v>28</v>
      </c>
      <c r="F14" s="108">
        <f t="shared" si="0"/>
        <v>300000</v>
      </c>
      <c r="G14" s="109" t="s">
        <v>20</v>
      </c>
      <c r="H14" s="110"/>
      <c r="I14" s="111"/>
      <c r="J14" s="110">
        <f t="shared" si="4"/>
        <v>3.03</v>
      </c>
      <c r="K14" s="108">
        <f t="shared" si="1"/>
        <v>1848300</v>
      </c>
      <c r="L14" s="108"/>
      <c r="M14" s="108"/>
      <c r="N14" s="108">
        <f t="shared" si="2"/>
        <v>1848300</v>
      </c>
      <c r="O14" s="124">
        <f t="shared" si="3"/>
        <v>1848300</v>
      </c>
      <c r="P14" s="124">
        <f t="shared" si="5"/>
        <v>1848300</v>
      </c>
      <c r="Q14" s="212"/>
    </row>
    <row r="15" spans="1:17" s="63" customFormat="1" ht="19.5" customHeight="1">
      <c r="A15" s="181">
        <v>7</v>
      </c>
      <c r="B15" s="104" t="s">
        <v>29</v>
      </c>
      <c r="C15" s="105" t="s">
        <v>30</v>
      </c>
      <c r="D15" s="106">
        <v>3.85</v>
      </c>
      <c r="E15" s="107" t="s">
        <v>25</v>
      </c>
      <c r="F15" s="108">
        <f t="shared" si="0"/>
        <v>200000</v>
      </c>
      <c r="G15" s="109" t="s">
        <v>20</v>
      </c>
      <c r="H15" s="110"/>
      <c r="I15" s="111"/>
      <c r="J15" s="110">
        <f t="shared" si="4"/>
        <v>3.85</v>
      </c>
      <c r="K15" s="108">
        <f t="shared" si="1"/>
        <v>2348500</v>
      </c>
      <c r="L15" s="108"/>
      <c r="M15" s="108"/>
      <c r="N15" s="108">
        <f t="shared" si="2"/>
        <v>2348500</v>
      </c>
      <c r="O15" s="124">
        <f t="shared" si="3"/>
        <v>2348500</v>
      </c>
      <c r="P15" s="124">
        <f t="shared" si="5"/>
        <v>2348500</v>
      </c>
      <c r="Q15" s="212"/>
    </row>
    <row r="16" spans="1:17" s="63" customFormat="1" ht="19.5" customHeight="1">
      <c r="A16" s="181">
        <v>8</v>
      </c>
      <c r="B16" s="104" t="s">
        <v>31</v>
      </c>
      <c r="C16" s="105" t="s">
        <v>32</v>
      </c>
      <c r="D16" s="106">
        <v>3.31</v>
      </c>
      <c r="E16" s="107" t="s">
        <v>25</v>
      </c>
      <c r="F16" s="108">
        <f t="shared" si="0"/>
        <v>200000</v>
      </c>
      <c r="G16" s="109" t="s">
        <v>20</v>
      </c>
      <c r="H16" s="110"/>
      <c r="I16" s="111"/>
      <c r="J16" s="110">
        <f t="shared" si="4"/>
        <v>3.31</v>
      </c>
      <c r="K16" s="108">
        <f t="shared" si="1"/>
        <v>2019100</v>
      </c>
      <c r="L16" s="108"/>
      <c r="M16" s="108"/>
      <c r="N16" s="108">
        <f t="shared" si="2"/>
        <v>2019100</v>
      </c>
      <c r="O16" s="124">
        <f t="shared" si="3"/>
        <v>2019100</v>
      </c>
      <c r="P16" s="124">
        <f t="shared" si="5"/>
        <v>2019100</v>
      </c>
      <c r="Q16" s="212"/>
    </row>
    <row r="17" spans="1:17" s="63" customFormat="1" ht="19.5" customHeight="1">
      <c r="A17" s="181">
        <v>9</v>
      </c>
      <c r="B17" s="104" t="s">
        <v>33</v>
      </c>
      <c r="C17" s="105" t="s">
        <v>34</v>
      </c>
      <c r="D17" s="106">
        <v>2.58</v>
      </c>
      <c r="E17" s="107" t="s">
        <v>25</v>
      </c>
      <c r="F17" s="108">
        <f t="shared" si="0"/>
        <v>200000</v>
      </c>
      <c r="G17" s="109" t="s">
        <v>20</v>
      </c>
      <c r="H17" s="110"/>
      <c r="I17" s="111"/>
      <c r="J17" s="110">
        <f t="shared" si="4"/>
        <v>2.58</v>
      </c>
      <c r="K17" s="108">
        <f t="shared" si="1"/>
        <v>1773800</v>
      </c>
      <c r="L17" s="108"/>
      <c r="M17" s="108"/>
      <c r="N17" s="108">
        <f t="shared" si="2"/>
        <v>1773800</v>
      </c>
      <c r="O17" s="124">
        <f t="shared" si="3"/>
        <v>1773800</v>
      </c>
      <c r="P17" s="124">
        <f t="shared" si="5"/>
        <v>1773800</v>
      </c>
      <c r="Q17" s="212"/>
    </row>
    <row r="18" spans="1:17" s="63" customFormat="1" ht="24.75" customHeight="1">
      <c r="A18" s="181">
        <v>10</v>
      </c>
      <c r="B18" s="104" t="s">
        <v>35</v>
      </c>
      <c r="C18" s="105" t="s">
        <v>36</v>
      </c>
      <c r="D18" s="106">
        <v>2.37</v>
      </c>
      <c r="E18" s="107" t="s">
        <v>25</v>
      </c>
      <c r="F18" s="108">
        <f t="shared" si="0"/>
        <v>200000</v>
      </c>
      <c r="G18" s="109" t="s">
        <v>20</v>
      </c>
      <c r="H18" s="110"/>
      <c r="I18" s="111"/>
      <c r="J18" s="110">
        <f t="shared" si="4"/>
        <v>2.37</v>
      </c>
      <c r="K18" s="108">
        <f t="shared" si="1"/>
        <v>1645700</v>
      </c>
      <c r="L18" s="108"/>
      <c r="M18" s="108"/>
      <c r="N18" s="108">
        <f t="shared" si="2"/>
        <v>1645700</v>
      </c>
      <c r="O18" s="124">
        <f t="shared" si="3"/>
        <v>1645700</v>
      </c>
      <c r="P18" s="124">
        <f t="shared" si="5"/>
        <v>1645700</v>
      </c>
      <c r="Q18" s="212"/>
    </row>
    <row r="19" spans="1:17" s="63" customFormat="1" ht="21.75" customHeight="1">
      <c r="A19" s="181">
        <v>11</v>
      </c>
      <c r="B19" s="104" t="s">
        <v>37</v>
      </c>
      <c r="C19" s="105" t="s">
        <v>38</v>
      </c>
      <c r="D19" s="106">
        <v>3</v>
      </c>
      <c r="E19" s="107" t="s">
        <v>19</v>
      </c>
      <c r="F19" s="108">
        <f t="shared" si="0"/>
        <v>300000</v>
      </c>
      <c r="G19" s="109" t="s">
        <v>367</v>
      </c>
      <c r="H19" s="110">
        <v>0.3</v>
      </c>
      <c r="I19" s="111"/>
      <c r="J19" s="110">
        <f t="shared" si="4"/>
        <v>3.3</v>
      </c>
      <c r="K19" s="108">
        <f t="shared" si="1"/>
        <v>2013000</v>
      </c>
      <c r="L19" s="108"/>
      <c r="M19" s="108"/>
      <c r="N19" s="108">
        <f t="shared" si="2"/>
        <v>2013000</v>
      </c>
      <c r="O19" s="124">
        <f t="shared" si="3"/>
        <v>2213000</v>
      </c>
      <c r="P19" s="124">
        <f t="shared" si="5"/>
        <v>2213000</v>
      </c>
      <c r="Q19" s="212"/>
    </row>
    <row r="20" spans="1:17" s="63" customFormat="1" ht="24" customHeight="1">
      <c r="A20" s="181">
        <v>12</v>
      </c>
      <c r="B20" s="104" t="s">
        <v>211</v>
      </c>
      <c r="C20" s="105" t="s">
        <v>48</v>
      </c>
      <c r="D20" s="106">
        <v>1.83</v>
      </c>
      <c r="E20" s="107" t="s">
        <v>28</v>
      </c>
      <c r="F20" s="108">
        <f t="shared" si="0"/>
        <v>300000</v>
      </c>
      <c r="G20" s="109" t="s">
        <v>20</v>
      </c>
      <c r="H20" s="110"/>
      <c r="I20" s="111"/>
      <c r="J20" s="110">
        <f t="shared" si="4"/>
        <v>1.83</v>
      </c>
      <c r="K20" s="108">
        <f t="shared" si="1"/>
        <v>1416300</v>
      </c>
      <c r="L20" s="108"/>
      <c r="M20" s="108"/>
      <c r="N20" s="108">
        <f t="shared" si="2"/>
        <v>1416300</v>
      </c>
      <c r="O20" s="124">
        <f t="shared" si="3"/>
        <v>1416300</v>
      </c>
      <c r="P20" s="124">
        <f t="shared" si="5"/>
        <v>1416300</v>
      </c>
      <c r="Q20" s="212"/>
    </row>
    <row r="21" spans="1:17" s="63" customFormat="1" ht="19.5" customHeight="1">
      <c r="A21" s="181">
        <v>13</v>
      </c>
      <c r="B21" s="129" t="s">
        <v>41</v>
      </c>
      <c r="C21" s="130" t="s">
        <v>42</v>
      </c>
      <c r="D21" s="131">
        <v>2.22</v>
      </c>
      <c r="E21" s="132" t="s">
        <v>25</v>
      </c>
      <c r="F21" s="133">
        <f t="shared" si="0"/>
        <v>200000</v>
      </c>
      <c r="G21" s="109" t="s">
        <v>367</v>
      </c>
      <c r="H21" s="135"/>
      <c r="I21" s="136"/>
      <c r="J21" s="135">
        <f t="shared" si="4"/>
        <v>2.22</v>
      </c>
      <c r="K21" s="133">
        <f t="shared" si="1"/>
        <v>1554200</v>
      </c>
      <c r="L21" s="133"/>
      <c r="M21" s="133"/>
      <c r="N21" s="133">
        <f t="shared" si="2"/>
        <v>1554200</v>
      </c>
      <c r="O21" s="124">
        <f t="shared" si="3"/>
        <v>1754200</v>
      </c>
      <c r="P21" s="124">
        <f>1554200/3+1444400/3*2</f>
        <v>1481000</v>
      </c>
      <c r="Q21" s="213"/>
    </row>
    <row r="22" spans="1:17" s="63" customFormat="1" ht="19.5" customHeight="1">
      <c r="A22" s="182">
        <f>COUNT(A9:A21)</f>
        <v>13</v>
      </c>
      <c r="B22" s="93" t="s">
        <v>43</v>
      </c>
      <c r="C22" s="53"/>
      <c r="D22" s="38">
        <f>SUM(D9:D21)</f>
        <v>44.959999999999994</v>
      </c>
      <c r="E22" s="38">
        <f aca="true" t="shared" si="6" ref="E22:P22">SUM(E9:E21)</f>
        <v>0</v>
      </c>
      <c r="F22" s="38">
        <f t="shared" si="6"/>
        <v>3300000</v>
      </c>
      <c r="G22" s="67">
        <f t="shared" si="6"/>
        <v>0</v>
      </c>
      <c r="H22" s="38">
        <f t="shared" si="6"/>
        <v>2.4</v>
      </c>
      <c r="I22" s="59">
        <f t="shared" si="6"/>
        <v>0.08</v>
      </c>
      <c r="J22" s="38">
        <f t="shared" si="6"/>
        <v>47.684799999999996</v>
      </c>
      <c r="K22" s="64">
        <f t="shared" si="6"/>
        <v>29987700</v>
      </c>
      <c r="L22" s="94">
        <f t="shared" si="6"/>
        <v>0</v>
      </c>
      <c r="M22" s="94">
        <f>SUM(M9:M21)</f>
        <v>0</v>
      </c>
      <c r="N22" s="64">
        <f t="shared" si="6"/>
        <v>29987700</v>
      </c>
      <c r="O22" s="64">
        <f t="shared" si="6"/>
        <v>29841100</v>
      </c>
      <c r="P22" s="64">
        <f t="shared" si="6"/>
        <v>29371900</v>
      </c>
      <c r="Q22" s="214"/>
    </row>
    <row r="23" spans="1:17" s="95" customFormat="1" ht="19.5" customHeight="1">
      <c r="A23" s="182" t="s">
        <v>44</v>
      </c>
      <c r="B23" s="252" t="s">
        <v>45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3"/>
    </row>
    <row r="24" spans="1:17" s="63" customFormat="1" ht="24.75" customHeight="1">
      <c r="A24" s="180">
        <v>1</v>
      </c>
      <c r="B24" s="120" t="s">
        <v>46</v>
      </c>
      <c r="C24" s="121" t="s">
        <v>47</v>
      </c>
      <c r="D24" s="122">
        <v>4.98</v>
      </c>
      <c r="E24" s="123" t="s">
        <v>19</v>
      </c>
      <c r="F24" s="124">
        <f aca="true" t="shared" si="7" ref="F24:F29">IF(E24="ĐH",300000,IF(E24="CĐ",300000,200000))</f>
        <v>300000</v>
      </c>
      <c r="G24" s="109" t="s">
        <v>367</v>
      </c>
      <c r="H24" s="126">
        <v>0.4</v>
      </c>
      <c r="I24" s="127"/>
      <c r="J24" s="126">
        <f aca="true" t="shared" si="8" ref="J24:J30">D24+H24+I24*D24</f>
        <v>5.380000000000001</v>
      </c>
      <c r="K24" s="124">
        <f aca="true" t="shared" si="9" ref="K24:K29">ROUND(IF(AND(E24="ĐH",J24&lt;=3),$K$3*J24+300000,IF(AND(E24="CĐ",J24&lt;=3),J24*$K$3+300000,IF(AND(E24="K",J24&lt;=3),J24*$K$3+200000,J24*$K$3))),-2)</f>
        <v>3281800</v>
      </c>
      <c r="L24" s="124"/>
      <c r="M24" s="124"/>
      <c r="N24" s="124">
        <f aca="true" t="shared" si="10" ref="N24:N29">ROUND(IF(AND(J24&lt;=3,K24&gt;$N$3),$N$3,K24),-2)</f>
        <v>3281800</v>
      </c>
      <c r="O24" s="124">
        <f aca="true" t="shared" si="11" ref="O24:O29">ROUND(IF(G24="A+",(N24*100%+L24-M24+200000),IF(G24="A",(N24*100%+L24-M24),IF(G24="B",(N24*80%+L24-M24),(N24*60%+L24-M24)))),-2)</f>
        <v>3481800</v>
      </c>
      <c r="P24" s="124">
        <f aca="true" t="shared" si="12" ref="P24:P29">O24</f>
        <v>3481800</v>
      </c>
      <c r="Q24" s="212"/>
    </row>
    <row r="25" spans="1:17" s="63" customFormat="1" ht="19.5" customHeight="1">
      <c r="A25" s="181">
        <v>2</v>
      </c>
      <c r="B25" s="104" t="s">
        <v>49</v>
      </c>
      <c r="C25" s="105" t="s">
        <v>50</v>
      </c>
      <c r="D25" s="106">
        <v>3.66</v>
      </c>
      <c r="E25" s="107" t="s">
        <v>19</v>
      </c>
      <c r="F25" s="108">
        <f t="shared" si="7"/>
        <v>300000</v>
      </c>
      <c r="G25" s="125" t="s">
        <v>20</v>
      </c>
      <c r="H25" s="110"/>
      <c r="I25" s="111"/>
      <c r="J25" s="110">
        <f t="shared" si="8"/>
        <v>3.66</v>
      </c>
      <c r="K25" s="108">
        <f t="shared" si="9"/>
        <v>2232600</v>
      </c>
      <c r="L25" s="108"/>
      <c r="M25" s="108"/>
      <c r="N25" s="108">
        <f t="shared" si="10"/>
        <v>2232600</v>
      </c>
      <c r="O25" s="124">
        <f t="shared" si="11"/>
        <v>2232600</v>
      </c>
      <c r="P25" s="124">
        <f t="shared" si="12"/>
        <v>2232600</v>
      </c>
      <c r="Q25" s="212"/>
    </row>
    <row r="26" spans="1:17" s="63" customFormat="1" ht="24.75" customHeight="1">
      <c r="A26" s="181">
        <v>3</v>
      </c>
      <c r="B26" s="104" t="s">
        <v>223</v>
      </c>
      <c r="C26" s="105" t="s">
        <v>52</v>
      </c>
      <c r="D26" s="106">
        <v>3.33</v>
      </c>
      <c r="E26" s="107" t="s">
        <v>19</v>
      </c>
      <c r="F26" s="108">
        <f t="shared" si="7"/>
        <v>300000</v>
      </c>
      <c r="G26" s="125" t="s">
        <v>20</v>
      </c>
      <c r="H26" s="110"/>
      <c r="I26" s="111"/>
      <c r="J26" s="110">
        <f t="shared" si="8"/>
        <v>3.33</v>
      </c>
      <c r="K26" s="108">
        <f t="shared" si="9"/>
        <v>2031300</v>
      </c>
      <c r="L26" s="108"/>
      <c r="M26" s="108"/>
      <c r="N26" s="108">
        <f t="shared" si="10"/>
        <v>2031300</v>
      </c>
      <c r="O26" s="124">
        <f t="shared" si="11"/>
        <v>2031300</v>
      </c>
      <c r="P26" s="124">
        <f t="shared" si="12"/>
        <v>2031300</v>
      </c>
      <c r="Q26" s="212"/>
    </row>
    <row r="27" spans="1:17" s="63" customFormat="1" ht="23.25" customHeight="1">
      <c r="A27" s="181">
        <v>4</v>
      </c>
      <c r="B27" s="104" t="s">
        <v>53</v>
      </c>
      <c r="C27" s="105" t="s">
        <v>50</v>
      </c>
      <c r="D27" s="106">
        <v>2.46</v>
      </c>
      <c r="E27" s="107" t="s">
        <v>25</v>
      </c>
      <c r="F27" s="108">
        <f t="shared" si="7"/>
        <v>200000</v>
      </c>
      <c r="G27" s="125" t="s">
        <v>20</v>
      </c>
      <c r="H27" s="110"/>
      <c r="I27" s="111"/>
      <c r="J27" s="110">
        <f t="shared" si="8"/>
        <v>2.46</v>
      </c>
      <c r="K27" s="108">
        <f t="shared" si="9"/>
        <v>1700600</v>
      </c>
      <c r="L27" s="108"/>
      <c r="M27" s="108"/>
      <c r="N27" s="108">
        <f t="shared" si="10"/>
        <v>1700600</v>
      </c>
      <c r="O27" s="124">
        <f t="shared" si="11"/>
        <v>1700600</v>
      </c>
      <c r="P27" s="124">
        <f t="shared" si="12"/>
        <v>1700600</v>
      </c>
      <c r="Q27" s="212"/>
    </row>
    <row r="28" spans="1:17" s="63" customFormat="1" ht="19.5" customHeight="1">
      <c r="A28" s="181">
        <v>5</v>
      </c>
      <c r="B28" s="104" t="s">
        <v>54</v>
      </c>
      <c r="C28" s="105" t="s">
        <v>50</v>
      </c>
      <c r="D28" s="106">
        <v>3</v>
      </c>
      <c r="E28" s="107" t="s">
        <v>19</v>
      </c>
      <c r="F28" s="108">
        <f t="shared" si="7"/>
        <v>300000</v>
      </c>
      <c r="G28" s="125" t="s">
        <v>20</v>
      </c>
      <c r="H28" s="110"/>
      <c r="I28" s="111"/>
      <c r="J28" s="110">
        <f t="shared" si="8"/>
        <v>3</v>
      </c>
      <c r="K28" s="108">
        <f t="shared" si="9"/>
        <v>2130000</v>
      </c>
      <c r="L28" s="108"/>
      <c r="M28" s="108"/>
      <c r="N28" s="108">
        <f t="shared" si="10"/>
        <v>1830000</v>
      </c>
      <c r="O28" s="124">
        <f t="shared" si="11"/>
        <v>1830000</v>
      </c>
      <c r="P28" s="124">
        <f t="shared" si="12"/>
        <v>1830000</v>
      </c>
      <c r="Q28" s="212"/>
    </row>
    <row r="29" spans="1:17" s="63" customFormat="1" ht="21.75" customHeight="1">
      <c r="A29" s="181">
        <v>6</v>
      </c>
      <c r="B29" s="129" t="s">
        <v>56</v>
      </c>
      <c r="C29" s="130" t="s">
        <v>50</v>
      </c>
      <c r="D29" s="131">
        <v>3</v>
      </c>
      <c r="E29" s="132" t="s">
        <v>19</v>
      </c>
      <c r="F29" s="133">
        <f t="shared" si="7"/>
        <v>300000</v>
      </c>
      <c r="G29" s="125" t="s">
        <v>20</v>
      </c>
      <c r="H29" s="135">
        <v>0.3</v>
      </c>
      <c r="I29" s="136"/>
      <c r="J29" s="135">
        <f t="shared" si="8"/>
        <v>3.3</v>
      </c>
      <c r="K29" s="133">
        <f t="shared" si="9"/>
        <v>2013000</v>
      </c>
      <c r="L29" s="133"/>
      <c r="M29" s="133"/>
      <c r="N29" s="133">
        <f t="shared" si="10"/>
        <v>2013000</v>
      </c>
      <c r="O29" s="124">
        <f t="shared" si="11"/>
        <v>2013000</v>
      </c>
      <c r="P29" s="124">
        <f t="shared" si="12"/>
        <v>2013000</v>
      </c>
      <c r="Q29" s="215"/>
    </row>
    <row r="30" spans="1:17" s="63" customFormat="1" ht="19.5" customHeight="1">
      <c r="A30" s="182">
        <f>COUNT(A24:A29)</f>
        <v>6</v>
      </c>
      <c r="B30" s="93" t="s">
        <v>43</v>
      </c>
      <c r="C30" s="53"/>
      <c r="D30" s="38">
        <f>SUM(D24:D29)</f>
        <v>20.43</v>
      </c>
      <c r="E30" s="38"/>
      <c r="F30" s="94">
        <f>SUM(F24:F29)</f>
        <v>1700000</v>
      </c>
      <c r="G30" s="67"/>
      <c r="H30" s="38">
        <f>SUM(H24:H29)</f>
        <v>0.7</v>
      </c>
      <c r="I30" s="39">
        <f>SUM(I24:I29)</f>
        <v>0</v>
      </c>
      <c r="J30" s="40">
        <f t="shared" si="8"/>
        <v>21.13</v>
      </c>
      <c r="K30" s="94">
        <f aca="true" t="shared" si="13" ref="K30:P30">SUM(K24:K29)</f>
        <v>13389300</v>
      </c>
      <c r="L30" s="94">
        <f t="shared" si="13"/>
        <v>0</v>
      </c>
      <c r="M30" s="94">
        <f t="shared" si="13"/>
        <v>0</v>
      </c>
      <c r="N30" s="94">
        <f t="shared" si="13"/>
        <v>13089300</v>
      </c>
      <c r="O30" s="94">
        <f t="shared" si="13"/>
        <v>13289300</v>
      </c>
      <c r="P30" s="94">
        <f t="shared" si="13"/>
        <v>13289300</v>
      </c>
      <c r="Q30" s="216"/>
    </row>
    <row r="31" spans="1:17" s="95" customFormat="1" ht="19.5" customHeight="1">
      <c r="A31" s="182" t="s">
        <v>57</v>
      </c>
      <c r="B31" s="252" t="s">
        <v>217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3"/>
    </row>
    <row r="32" spans="1:17" s="63" customFormat="1" ht="19.5" customHeight="1">
      <c r="A32" s="180">
        <v>1</v>
      </c>
      <c r="B32" s="120" t="s">
        <v>58</v>
      </c>
      <c r="C32" s="121" t="s">
        <v>27</v>
      </c>
      <c r="D32" s="122">
        <v>3.06</v>
      </c>
      <c r="E32" s="123" t="s">
        <v>25</v>
      </c>
      <c r="F32" s="124">
        <f aca="true" t="shared" si="14" ref="F32:F38">IF(E32="ĐH",300000,IF(E32="CĐ",300000,200000))</f>
        <v>200000</v>
      </c>
      <c r="G32" s="109" t="s">
        <v>20</v>
      </c>
      <c r="H32" s="126"/>
      <c r="I32" s="127"/>
      <c r="J32" s="126">
        <f aca="true" t="shared" si="15" ref="J32:J38">D32+H32+I32*D32</f>
        <v>3.06</v>
      </c>
      <c r="K32" s="124">
        <f aca="true" t="shared" si="16" ref="K32:K38">ROUND(IF(AND(E32="ĐH",J32&lt;=3),$K$3*J32+300000,IF(AND(E32="CĐ",J32&lt;=3),J32*$K$3+300000,IF(AND(E32="K",J32&lt;=3),J32*$K$3+200000,J32*$K$3))),-2)</f>
        <v>1866600</v>
      </c>
      <c r="L32" s="124"/>
      <c r="M32" s="124"/>
      <c r="N32" s="124">
        <f aca="true" t="shared" si="17" ref="N32:N38">ROUND(IF(AND(J32&lt;=3,K32&gt;$N$3),$N$3,K32),-2)</f>
        <v>1866600</v>
      </c>
      <c r="O32" s="124">
        <f aca="true" t="shared" si="18" ref="O32:O38">ROUND(IF(G32="A+",(N32*100%+L32-M32+200000),IF(G32="A",(N32*100%+L32-M32),IF(G32="B",(N32*80%+L32-M32),(N32*60%+L32-M32)))),-2)</f>
        <v>1866600</v>
      </c>
      <c r="P32" s="232">
        <f>ROUND((O32/3*2+O32/3*80%),-2)</f>
        <v>1742200</v>
      </c>
      <c r="Q32" s="212" t="s">
        <v>401</v>
      </c>
    </row>
    <row r="33" spans="1:17" s="63" customFormat="1" ht="19.5" customHeight="1">
      <c r="A33" s="181">
        <v>2</v>
      </c>
      <c r="B33" s="104" t="s">
        <v>59</v>
      </c>
      <c r="C33" s="114" t="s">
        <v>52</v>
      </c>
      <c r="D33" s="106">
        <v>2.46</v>
      </c>
      <c r="E33" s="107" t="s">
        <v>25</v>
      </c>
      <c r="F33" s="108">
        <f t="shared" si="14"/>
        <v>200000</v>
      </c>
      <c r="G33" s="109" t="s">
        <v>20</v>
      </c>
      <c r="H33" s="110"/>
      <c r="I33" s="111"/>
      <c r="J33" s="110">
        <f t="shared" si="15"/>
        <v>2.46</v>
      </c>
      <c r="K33" s="108">
        <f t="shared" si="16"/>
        <v>1700600</v>
      </c>
      <c r="L33" s="108"/>
      <c r="M33" s="108"/>
      <c r="N33" s="108">
        <f t="shared" si="17"/>
        <v>1700600</v>
      </c>
      <c r="O33" s="124">
        <f t="shared" si="18"/>
        <v>1700600</v>
      </c>
      <c r="P33" s="124">
        <f>O33</f>
        <v>1700600</v>
      </c>
      <c r="Q33" s="217"/>
    </row>
    <row r="34" spans="1:17" s="63" customFormat="1" ht="19.5" customHeight="1">
      <c r="A34" s="181">
        <v>3</v>
      </c>
      <c r="B34" s="104" t="s">
        <v>151</v>
      </c>
      <c r="C34" s="105" t="s">
        <v>89</v>
      </c>
      <c r="D34" s="106">
        <v>4.32</v>
      </c>
      <c r="E34" s="107" t="s">
        <v>19</v>
      </c>
      <c r="F34" s="108">
        <f t="shared" si="14"/>
        <v>300000</v>
      </c>
      <c r="G34" s="109" t="s">
        <v>367</v>
      </c>
      <c r="H34" s="110">
        <v>0.4</v>
      </c>
      <c r="I34" s="111"/>
      <c r="J34" s="110">
        <f t="shared" si="15"/>
        <v>4.720000000000001</v>
      </c>
      <c r="K34" s="108">
        <f t="shared" si="16"/>
        <v>2879200</v>
      </c>
      <c r="L34" s="108"/>
      <c r="M34" s="108"/>
      <c r="N34" s="108">
        <f t="shared" si="17"/>
        <v>2879200</v>
      </c>
      <c r="O34" s="124">
        <f t="shared" si="18"/>
        <v>3079200</v>
      </c>
      <c r="P34" s="124">
        <f>O34</f>
        <v>3079200</v>
      </c>
      <c r="Q34" s="212"/>
    </row>
    <row r="35" spans="1:17" s="63" customFormat="1" ht="19.5" customHeight="1">
      <c r="A35" s="181">
        <v>4</v>
      </c>
      <c r="B35" s="104" t="s">
        <v>106</v>
      </c>
      <c r="C35" s="114" t="s">
        <v>30</v>
      </c>
      <c r="D35" s="106">
        <v>3</v>
      </c>
      <c r="E35" s="107" t="s">
        <v>19</v>
      </c>
      <c r="F35" s="108">
        <f t="shared" si="14"/>
        <v>300000</v>
      </c>
      <c r="G35" s="109"/>
      <c r="H35" s="110">
        <v>0.3</v>
      </c>
      <c r="I35" s="111"/>
      <c r="J35" s="110">
        <f t="shared" si="15"/>
        <v>3.3</v>
      </c>
      <c r="K35" s="108">
        <f t="shared" si="16"/>
        <v>2013000</v>
      </c>
      <c r="L35" s="108"/>
      <c r="M35" s="108"/>
      <c r="N35" s="108">
        <f t="shared" si="17"/>
        <v>2013000</v>
      </c>
      <c r="O35" s="124">
        <f t="shared" si="18"/>
        <v>1207800</v>
      </c>
      <c r="P35" s="124">
        <f>0*O35</f>
        <v>0</v>
      </c>
      <c r="Q35" s="222" t="s">
        <v>405</v>
      </c>
    </row>
    <row r="36" spans="1:17" s="63" customFormat="1" ht="19.5" customHeight="1">
      <c r="A36" s="181">
        <v>5</v>
      </c>
      <c r="B36" s="104" t="s">
        <v>108</v>
      </c>
      <c r="C36" s="114" t="s">
        <v>109</v>
      </c>
      <c r="D36" s="106">
        <v>2.41</v>
      </c>
      <c r="E36" s="107" t="s">
        <v>28</v>
      </c>
      <c r="F36" s="108">
        <f t="shared" si="14"/>
        <v>300000</v>
      </c>
      <c r="G36" s="109" t="s">
        <v>20</v>
      </c>
      <c r="H36" s="110"/>
      <c r="I36" s="111"/>
      <c r="J36" s="110">
        <f t="shared" si="15"/>
        <v>2.41</v>
      </c>
      <c r="K36" s="108">
        <f t="shared" si="16"/>
        <v>1770100</v>
      </c>
      <c r="L36" s="108"/>
      <c r="M36" s="108"/>
      <c r="N36" s="108">
        <f t="shared" si="17"/>
        <v>1770100</v>
      </c>
      <c r="O36" s="124">
        <f t="shared" si="18"/>
        <v>1770100</v>
      </c>
      <c r="P36" s="124">
        <f>O36</f>
        <v>1770100</v>
      </c>
      <c r="Q36" s="212"/>
    </row>
    <row r="37" spans="1:17" s="63" customFormat="1" ht="19.5" customHeight="1">
      <c r="A37" s="181">
        <v>6</v>
      </c>
      <c r="B37" s="104" t="s">
        <v>55</v>
      </c>
      <c r="C37" s="105" t="s">
        <v>50</v>
      </c>
      <c r="D37" s="113">
        <v>2.67</v>
      </c>
      <c r="E37" s="107" t="s">
        <v>19</v>
      </c>
      <c r="F37" s="108">
        <f>IF(E37="ĐH",300000,IF(E37="CĐ",300000,200000))</f>
        <v>300000</v>
      </c>
      <c r="G37" s="125" t="s">
        <v>20</v>
      </c>
      <c r="H37" s="110"/>
      <c r="I37" s="111"/>
      <c r="J37" s="110">
        <f>D37+H37+I37*D37</f>
        <v>2.67</v>
      </c>
      <c r="K37" s="108">
        <f>ROUND(IF(AND(E37="ĐH",J37&lt;=3),$K$3*J37+300000,IF(AND(E37="CĐ",J37&lt;=3),J37*$K$3+300000,IF(AND(E37="K",J37&lt;=3),J37*$K$3+200000,J37*$K$3))),-2)</f>
        <v>1928700</v>
      </c>
      <c r="L37" s="108"/>
      <c r="M37" s="108"/>
      <c r="N37" s="108">
        <f>ROUND(IF(AND(J37&lt;=3,K37&gt;$N$3),$N$3,K37),-2)</f>
        <v>1830000</v>
      </c>
      <c r="O37" s="124">
        <f>ROUND(IF(G37="A+",(N37*100%+L37-M37+200000),IF(G37="A",(N37*100%+L37-M37),IF(G37="B",(N37*80%+L37-M37),(N37*60%+L37-M37)))),-2)</f>
        <v>1830000</v>
      </c>
      <c r="P37" s="124">
        <f>O37</f>
        <v>1830000</v>
      </c>
      <c r="Q37" s="212"/>
    </row>
    <row r="38" spans="1:17" s="63" customFormat="1" ht="19.5" customHeight="1">
      <c r="A38" s="181">
        <v>7</v>
      </c>
      <c r="B38" s="129" t="s">
        <v>61</v>
      </c>
      <c r="C38" s="130" t="s">
        <v>22</v>
      </c>
      <c r="D38" s="131">
        <v>4.32</v>
      </c>
      <c r="E38" s="132" t="s">
        <v>19</v>
      </c>
      <c r="F38" s="133">
        <f t="shared" si="14"/>
        <v>300000</v>
      </c>
      <c r="G38" s="134" t="s">
        <v>367</v>
      </c>
      <c r="H38" s="135">
        <v>0.4</v>
      </c>
      <c r="I38" s="136"/>
      <c r="J38" s="135">
        <f t="shared" si="15"/>
        <v>4.720000000000001</v>
      </c>
      <c r="K38" s="133">
        <f t="shared" si="16"/>
        <v>2879200</v>
      </c>
      <c r="L38" s="133"/>
      <c r="M38" s="133"/>
      <c r="N38" s="133">
        <f t="shared" si="17"/>
        <v>2879200</v>
      </c>
      <c r="O38" s="124">
        <f t="shared" si="18"/>
        <v>3079200</v>
      </c>
      <c r="P38" s="124">
        <f>O38</f>
        <v>3079200</v>
      </c>
      <c r="Q38" s="215"/>
    </row>
    <row r="39" spans="1:17" s="63" customFormat="1" ht="19.5" customHeight="1">
      <c r="A39" s="182">
        <f>COUNT(A32:A38)</f>
        <v>7</v>
      </c>
      <c r="B39" s="93" t="s">
        <v>43</v>
      </c>
      <c r="C39" s="53"/>
      <c r="D39" s="38">
        <f>SUM(D32:D38)</f>
        <v>22.240000000000002</v>
      </c>
      <c r="E39" s="38"/>
      <c r="F39" s="94">
        <f>SUM(F32:F38)</f>
        <v>1900000</v>
      </c>
      <c r="G39" s="67"/>
      <c r="H39" s="38">
        <f aca="true" t="shared" si="19" ref="H39:P39">SUM(H32:H38)</f>
        <v>1.1</v>
      </c>
      <c r="I39" s="39">
        <f t="shared" si="19"/>
        <v>0</v>
      </c>
      <c r="J39" s="38">
        <f t="shared" si="19"/>
        <v>23.339999999999996</v>
      </c>
      <c r="K39" s="94">
        <f t="shared" si="19"/>
        <v>15037400</v>
      </c>
      <c r="L39" s="94">
        <f t="shared" si="19"/>
        <v>0</v>
      </c>
      <c r="M39" s="94">
        <f>SUM(M32:M38)</f>
        <v>0</v>
      </c>
      <c r="N39" s="94">
        <f t="shared" si="19"/>
        <v>14938700</v>
      </c>
      <c r="O39" s="94">
        <f t="shared" si="19"/>
        <v>14533500</v>
      </c>
      <c r="P39" s="94">
        <f t="shared" si="19"/>
        <v>13201300</v>
      </c>
      <c r="Q39" s="216"/>
    </row>
    <row r="40" spans="1:17" s="63" customFormat="1" ht="19.5" customHeight="1">
      <c r="A40" s="182" t="s">
        <v>62</v>
      </c>
      <c r="B40" s="252" t="s">
        <v>63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3"/>
    </row>
    <row r="41" spans="1:17" s="63" customFormat="1" ht="33" customHeight="1">
      <c r="A41" s="180">
        <v>1</v>
      </c>
      <c r="B41" s="120" t="s">
        <v>64</v>
      </c>
      <c r="C41" s="121" t="s">
        <v>65</v>
      </c>
      <c r="D41" s="122">
        <v>4.98</v>
      </c>
      <c r="E41" s="123" t="s">
        <v>19</v>
      </c>
      <c r="F41" s="124">
        <f>IF(E41="ĐH",300000,IF(E41="CĐ",300000,200000))</f>
        <v>300000</v>
      </c>
      <c r="G41" s="125" t="s">
        <v>20</v>
      </c>
      <c r="H41" s="126">
        <v>0.4</v>
      </c>
      <c r="I41" s="127">
        <v>0.06</v>
      </c>
      <c r="J41" s="110">
        <f aca="true" t="shared" si="20" ref="J41:J51">D41+H41+I41*D41</f>
        <v>5.678800000000001</v>
      </c>
      <c r="K41" s="124">
        <f>ROUND(IF(AND(E41="ĐH",J41&lt;=3),$K$3*J41+300000,IF(AND(E41="CĐ",J41&lt;=3),J41*$K$3+300000,IF(AND(E41="K",J41&lt;=3),J41*$K$3+200000,J41*$K$3))),-2)</f>
        <v>3464100</v>
      </c>
      <c r="L41" s="124"/>
      <c r="M41" s="124"/>
      <c r="N41" s="124">
        <f>ROUND(IF(AND(J41&lt;=3,K41&gt;$N$3),$N$3,K41),-2)</f>
        <v>3464100</v>
      </c>
      <c r="O41" s="124">
        <f aca="true" t="shared" si="21" ref="O41:O51">ROUND(IF(G41="A+",(N41*100%+L41-M41+200000),IF(G41="A",(N41*100%+L41-M41),IF(G41="B",(N41*80%+L41-M41),(N41*60%+L41-M41)))),-2)</f>
        <v>3464100</v>
      </c>
      <c r="P41" s="124">
        <f>ROUND(O41/3,-2)</f>
        <v>1154700</v>
      </c>
      <c r="Q41" s="212" t="s">
        <v>411</v>
      </c>
    </row>
    <row r="42" spans="1:17" s="63" customFormat="1" ht="27.75" customHeight="1">
      <c r="A42" s="181">
        <v>2</v>
      </c>
      <c r="B42" s="104" t="s">
        <v>66</v>
      </c>
      <c r="C42" s="105" t="s">
        <v>67</v>
      </c>
      <c r="D42" s="106">
        <v>4.06</v>
      </c>
      <c r="E42" s="107" t="s">
        <v>25</v>
      </c>
      <c r="F42" s="108">
        <f aca="true" t="shared" si="22" ref="F42:F51">IF(E42="ĐH",300000,IF(E42="CĐ",300000,200000))</f>
        <v>200000</v>
      </c>
      <c r="G42" s="109" t="s">
        <v>20</v>
      </c>
      <c r="H42" s="110"/>
      <c r="I42" s="111">
        <v>0.08</v>
      </c>
      <c r="J42" s="110">
        <f t="shared" si="20"/>
        <v>4.384799999999999</v>
      </c>
      <c r="K42" s="108">
        <f aca="true" t="shared" si="23" ref="K42:K51">ROUND(IF(AND(E42="ĐH",J42&lt;=3),$K$3*J42+300000,IF(AND(E42="CĐ",J42&lt;=3),J42*$K$3+300000,IF(AND(E42="K",J42&lt;=3),J42*$K$3+200000,J42*$K$3))),-2)</f>
        <v>2674700</v>
      </c>
      <c r="L42" s="108"/>
      <c r="M42" s="108"/>
      <c r="N42" s="108">
        <f aca="true" t="shared" si="24" ref="N42:N51">ROUND(IF(AND(J42&lt;=3,K42&gt;$N$3),$N$3,K42),-2)</f>
        <v>2674700</v>
      </c>
      <c r="O42" s="124">
        <f t="shared" si="21"/>
        <v>2674700</v>
      </c>
      <c r="P42" s="124">
        <f aca="true" t="shared" si="25" ref="P42:P49">O42</f>
        <v>2674700</v>
      </c>
      <c r="Q42" s="212"/>
    </row>
    <row r="43" spans="1:17" s="63" customFormat="1" ht="19.5" customHeight="1">
      <c r="A43" s="181">
        <v>3</v>
      </c>
      <c r="B43" s="104" t="s">
        <v>68</v>
      </c>
      <c r="C43" s="105" t="s">
        <v>69</v>
      </c>
      <c r="D43" s="106">
        <v>3.66</v>
      </c>
      <c r="E43" s="107" t="s">
        <v>25</v>
      </c>
      <c r="F43" s="108">
        <f t="shared" si="22"/>
        <v>200000</v>
      </c>
      <c r="G43" s="109" t="s">
        <v>20</v>
      </c>
      <c r="H43" s="110"/>
      <c r="I43" s="111"/>
      <c r="J43" s="110">
        <f t="shared" si="20"/>
        <v>3.66</v>
      </c>
      <c r="K43" s="108">
        <f t="shared" si="23"/>
        <v>2232600</v>
      </c>
      <c r="L43" s="108"/>
      <c r="M43" s="108"/>
      <c r="N43" s="108">
        <f t="shared" si="24"/>
        <v>2232600</v>
      </c>
      <c r="O43" s="124">
        <f t="shared" si="21"/>
        <v>2232600</v>
      </c>
      <c r="P43" s="124">
        <f t="shared" si="25"/>
        <v>2232600</v>
      </c>
      <c r="Q43" s="212"/>
    </row>
    <row r="44" spans="1:17" s="63" customFormat="1" ht="24.75" customHeight="1">
      <c r="A44" s="181">
        <v>4</v>
      </c>
      <c r="B44" s="104" t="s">
        <v>70</v>
      </c>
      <c r="C44" s="105" t="s">
        <v>71</v>
      </c>
      <c r="D44" s="106">
        <v>3.66</v>
      </c>
      <c r="E44" s="107" t="s">
        <v>25</v>
      </c>
      <c r="F44" s="108">
        <f t="shared" si="22"/>
        <v>200000</v>
      </c>
      <c r="G44" s="109" t="s">
        <v>367</v>
      </c>
      <c r="H44" s="110"/>
      <c r="I44" s="111"/>
      <c r="J44" s="110">
        <f t="shared" si="20"/>
        <v>3.66</v>
      </c>
      <c r="K44" s="108">
        <f t="shared" si="23"/>
        <v>2232600</v>
      </c>
      <c r="L44" s="108"/>
      <c r="M44" s="108"/>
      <c r="N44" s="108">
        <f t="shared" si="24"/>
        <v>2232600</v>
      </c>
      <c r="O44" s="124">
        <f t="shared" si="21"/>
        <v>2432600</v>
      </c>
      <c r="P44" s="124">
        <f t="shared" si="25"/>
        <v>2432600</v>
      </c>
      <c r="Q44" s="215"/>
    </row>
    <row r="45" spans="1:17" s="63" customFormat="1" ht="25.5" customHeight="1">
      <c r="A45" s="181">
        <v>5</v>
      </c>
      <c r="B45" s="104" t="s">
        <v>72</v>
      </c>
      <c r="C45" s="105" t="s">
        <v>71</v>
      </c>
      <c r="D45" s="106">
        <v>3.66</v>
      </c>
      <c r="E45" s="107" t="s">
        <v>25</v>
      </c>
      <c r="F45" s="108">
        <f t="shared" si="22"/>
        <v>200000</v>
      </c>
      <c r="G45" s="109" t="s">
        <v>20</v>
      </c>
      <c r="H45" s="110"/>
      <c r="I45" s="111"/>
      <c r="J45" s="110">
        <f t="shared" si="20"/>
        <v>3.66</v>
      </c>
      <c r="K45" s="108">
        <f t="shared" si="23"/>
        <v>2232600</v>
      </c>
      <c r="L45" s="108"/>
      <c r="M45" s="108"/>
      <c r="N45" s="108">
        <f t="shared" si="24"/>
        <v>2232600</v>
      </c>
      <c r="O45" s="124">
        <f t="shared" si="21"/>
        <v>2232600</v>
      </c>
      <c r="P45" s="124">
        <f t="shared" si="25"/>
        <v>2232600</v>
      </c>
      <c r="Q45" s="212"/>
    </row>
    <row r="46" spans="1:17" s="63" customFormat="1" ht="21.75" customHeight="1">
      <c r="A46" s="181">
        <v>6</v>
      </c>
      <c r="B46" s="104" t="s">
        <v>73</v>
      </c>
      <c r="C46" s="105" t="s">
        <v>71</v>
      </c>
      <c r="D46" s="106">
        <v>3.66</v>
      </c>
      <c r="E46" s="107" t="s">
        <v>25</v>
      </c>
      <c r="F46" s="108">
        <f t="shared" si="22"/>
        <v>200000</v>
      </c>
      <c r="G46" s="109" t="s">
        <v>20</v>
      </c>
      <c r="H46" s="110"/>
      <c r="I46" s="111"/>
      <c r="J46" s="110">
        <f t="shared" si="20"/>
        <v>3.66</v>
      </c>
      <c r="K46" s="108">
        <f t="shared" si="23"/>
        <v>2232600</v>
      </c>
      <c r="L46" s="108"/>
      <c r="M46" s="108"/>
      <c r="N46" s="108">
        <f t="shared" si="24"/>
        <v>2232600</v>
      </c>
      <c r="O46" s="124">
        <f t="shared" si="21"/>
        <v>2232600</v>
      </c>
      <c r="P46" s="124">
        <f>ROUND(2232600/3*2+2110600/3,-2)</f>
        <v>2191900</v>
      </c>
      <c r="Q46" s="212"/>
    </row>
    <row r="47" spans="1:17" s="63" customFormat="1" ht="24.75" customHeight="1">
      <c r="A47" s="181">
        <v>7</v>
      </c>
      <c r="B47" s="104" t="s">
        <v>74</v>
      </c>
      <c r="C47" s="105" t="s">
        <v>75</v>
      </c>
      <c r="D47" s="106">
        <v>3.26</v>
      </c>
      <c r="E47" s="107" t="s">
        <v>25</v>
      </c>
      <c r="F47" s="108">
        <f t="shared" si="22"/>
        <v>200000</v>
      </c>
      <c r="G47" s="109" t="s">
        <v>20</v>
      </c>
      <c r="H47" s="110"/>
      <c r="I47" s="111"/>
      <c r="J47" s="110">
        <f t="shared" si="20"/>
        <v>3.26</v>
      </c>
      <c r="K47" s="108">
        <f t="shared" si="23"/>
        <v>1988600</v>
      </c>
      <c r="L47" s="108"/>
      <c r="M47" s="108"/>
      <c r="N47" s="108">
        <f t="shared" si="24"/>
        <v>1988600</v>
      </c>
      <c r="O47" s="124">
        <f t="shared" si="21"/>
        <v>1988600</v>
      </c>
      <c r="P47" s="124">
        <f t="shared" si="25"/>
        <v>1988600</v>
      </c>
      <c r="Q47" s="212"/>
    </row>
    <row r="48" spans="1:17" s="63" customFormat="1" ht="23.25" customHeight="1">
      <c r="A48" s="181">
        <v>8</v>
      </c>
      <c r="B48" s="104" t="s">
        <v>76</v>
      </c>
      <c r="C48" s="114" t="s">
        <v>30</v>
      </c>
      <c r="D48" s="106">
        <v>3</v>
      </c>
      <c r="E48" s="107" t="s">
        <v>19</v>
      </c>
      <c r="F48" s="108">
        <f t="shared" si="22"/>
        <v>300000</v>
      </c>
      <c r="G48" s="109" t="s">
        <v>367</v>
      </c>
      <c r="H48" s="110">
        <v>0.3</v>
      </c>
      <c r="I48" s="111"/>
      <c r="J48" s="110">
        <f t="shared" si="20"/>
        <v>3.3</v>
      </c>
      <c r="K48" s="108">
        <f t="shared" si="23"/>
        <v>2013000</v>
      </c>
      <c r="L48" s="108"/>
      <c r="M48" s="108"/>
      <c r="N48" s="108">
        <f t="shared" si="24"/>
        <v>2013000</v>
      </c>
      <c r="O48" s="124">
        <f t="shared" si="21"/>
        <v>2213000</v>
      </c>
      <c r="P48" s="124">
        <f t="shared" si="25"/>
        <v>2213000</v>
      </c>
      <c r="Q48" s="212"/>
    </row>
    <row r="49" spans="1:17" s="63" customFormat="1" ht="19.5" customHeight="1">
      <c r="A49" s="181">
        <v>9</v>
      </c>
      <c r="B49" s="104" t="s">
        <v>77</v>
      </c>
      <c r="C49" s="105" t="s">
        <v>78</v>
      </c>
      <c r="D49" s="106">
        <v>3</v>
      </c>
      <c r="E49" s="107" t="s">
        <v>19</v>
      </c>
      <c r="F49" s="108">
        <f t="shared" si="22"/>
        <v>300000</v>
      </c>
      <c r="G49" s="109" t="s">
        <v>20</v>
      </c>
      <c r="H49" s="110"/>
      <c r="I49" s="111"/>
      <c r="J49" s="110">
        <f t="shared" si="20"/>
        <v>3</v>
      </c>
      <c r="K49" s="108">
        <f t="shared" si="23"/>
        <v>2130000</v>
      </c>
      <c r="L49" s="108">
        <v>1830000</v>
      </c>
      <c r="M49" s="108"/>
      <c r="N49" s="108">
        <f t="shared" si="24"/>
        <v>1830000</v>
      </c>
      <c r="O49" s="124">
        <f t="shared" si="21"/>
        <v>3660000</v>
      </c>
      <c r="P49" s="124">
        <f t="shared" si="25"/>
        <v>3660000</v>
      </c>
      <c r="Q49" s="212" t="s">
        <v>420</v>
      </c>
    </row>
    <row r="50" spans="1:17" s="63" customFormat="1" ht="22.5" customHeight="1">
      <c r="A50" s="181">
        <v>10</v>
      </c>
      <c r="B50" s="104" t="s">
        <v>79</v>
      </c>
      <c r="C50" s="105" t="s">
        <v>78</v>
      </c>
      <c r="D50" s="106">
        <v>3.06</v>
      </c>
      <c r="E50" s="107" t="s">
        <v>19</v>
      </c>
      <c r="F50" s="108">
        <f>IF(E50="ĐH",300000,IF(E50="CĐ",300000,200000))</f>
        <v>300000</v>
      </c>
      <c r="G50" s="109" t="s">
        <v>20</v>
      </c>
      <c r="H50" s="110"/>
      <c r="I50" s="111"/>
      <c r="J50" s="110">
        <f>D50+H50+I50*D50</f>
        <v>3.06</v>
      </c>
      <c r="K50" s="108">
        <f>ROUND(IF(AND(E50="ĐH",J50&lt;=3),$K$3*J50+300000,IF(AND(E50="CĐ",J50&lt;=3),J50*$K$3+300000,IF(AND(E50="K",J50&lt;=3),J50*$K$3+200000,J50*$K$3))),-2)</f>
        <v>1866600</v>
      </c>
      <c r="L50" s="108">
        <f>1800000+1830000+1220000</f>
        <v>4850000</v>
      </c>
      <c r="M50" s="108"/>
      <c r="N50" s="108">
        <f>ROUND(IF(AND(J50&lt;=3,K50&gt;$N$3),$N$3,K50),-2)</f>
        <v>1866600</v>
      </c>
      <c r="O50" s="124">
        <f t="shared" si="21"/>
        <v>6716600</v>
      </c>
      <c r="P50" s="124">
        <f>O50</f>
        <v>6716600</v>
      </c>
      <c r="Q50" s="212" t="s">
        <v>419</v>
      </c>
    </row>
    <row r="51" spans="1:17" s="63" customFormat="1" ht="21" customHeight="1">
      <c r="A51" s="181">
        <v>11</v>
      </c>
      <c r="B51" s="129" t="s">
        <v>80</v>
      </c>
      <c r="C51" s="137" t="s">
        <v>78</v>
      </c>
      <c r="D51" s="131">
        <v>3</v>
      </c>
      <c r="E51" s="132" t="s">
        <v>19</v>
      </c>
      <c r="F51" s="133">
        <f t="shared" si="22"/>
        <v>300000</v>
      </c>
      <c r="G51" s="109" t="s">
        <v>20</v>
      </c>
      <c r="H51" s="135"/>
      <c r="I51" s="136"/>
      <c r="J51" s="135">
        <f t="shared" si="20"/>
        <v>3</v>
      </c>
      <c r="K51" s="133">
        <f t="shared" si="23"/>
        <v>2130000</v>
      </c>
      <c r="L51" s="133"/>
      <c r="M51" s="133"/>
      <c r="N51" s="133">
        <f t="shared" si="24"/>
        <v>1830000</v>
      </c>
      <c r="O51" s="124">
        <f t="shared" si="21"/>
        <v>1830000</v>
      </c>
      <c r="P51" s="124">
        <f>O51</f>
        <v>1830000</v>
      </c>
      <c r="Q51" s="215"/>
    </row>
    <row r="52" spans="1:17" s="63" customFormat="1" ht="19.5" customHeight="1">
      <c r="A52" s="182">
        <f>COUNT(A41:A51)</f>
        <v>11</v>
      </c>
      <c r="B52" s="93" t="s">
        <v>43</v>
      </c>
      <c r="C52" s="53"/>
      <c r="D52" s="38">
        <f>SUM(D41:D51)</f>
        <v>39</v>
      </c>
      <c r="E52" s="38">
        <f aca="true" t="shared" si="26" ref="E52:P52">SUM(E41:E51)</f>
        <v>0</v>
      </c>
      <c r="F52" s="38">
        <f t="shared" si="26"/>
        <v>2700000</v>
      </c>
      <c r="G52" s="38"/>
      <c r="H52" s="38">
        <f t="shared" si="26"/>
        <v>0.7</v>
      </c>
      <c r="I52" s="59">
        <f t="shared" si="26"/>
        <v>0.14</v>
      </c>
      <c r="J52" s="38">
        <f t="shared" si="26"/>
        <v>40.3236</v>
      </c>
      <c r="K52" s="38">
        <f t="shared" si="26"/>
        <v>25197400</v>
      </c>
      <c r="L52" s="38">
        <f t="shared" si="26"/>
        <v>6680000</v>
      </c>
      <c r="M52" s="38">
        <f t="shared" si="26"/>
        <v>0</v>
      </c>
      <c r="N52" s="64">
        <f t="shared" si="26"/>
        <v>24597400</v>
      </c>
      <c r="O52" s="64">
        <f t="shared" si="26"/>
        <v>31677400</v>
      </c>
      <c r="P52" s="64">
        <f t="shared" si="26"/>
        <v>29327300</v>
      </c>
      <c r="Q52" s="216"/>
    </row>
    <row r="53" spans="1:17" s="63" customFormat="1" ht="19.5" customHeight="1">
      <c r="A53" s="182" t="s">
        <v>81</v>
      </c>
      <c r="B53" s="252" t="s">
        <v>200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3"/>
    </row>
    <row r="54" spans="1:17" s="63" customFormat="1" ht="19.5" customHeight="1">
      <c r="A54" s="180">
        <v>1</v>
      </c>
      <c r="B54" s="120" t="s">
        <v>86</v>
      </c>
      <c r="C54" s="138" t="s">
        <v>87</v>
      </c>
      <c r="D54" s="122">
        <v>3.33</v>
      </c>
      <c r="E54" s="139" t="s">
        <v>19</v>
      </c>
      <c r="F54" s="124">
        <f aca="true" t="shared" si="27" ref="F54:F62">IF(E54="ĐH",300000,IF(E54="CĐ",300000,200000))</f>
        <v>300000</v>
      </c>
      <c r="G54" s="125" t="s">
        <v>48</v>
      </c>
      <c r="H54" s="126">
        <v>0.4</v>
      </c>
      <c r="I54" s="127"/>
      <c r="J54" s="126">
        <f aca="true" t="shared" si="28" ref="J54:J62">D54+H54+I54*D54</f>
        <v>3.73</v>
      </c>
      <c r="K54" s="124">
        <f aca="true" t="shared" si="29" ref="K54:K62">ROUND(IF(AND(E54="ĐH",J54&lt;=3),$K$3*J54+300000,IF(AND(E54="CĐ",J54&lt;=3),J54*$K$3+300000,IF(AND(E54="K",J54&lt;=3),J54*$K$3+200000,J54*$K$3))),-2)</f>
        <v>2275300</v>
      </c>
      <c r="L54" s="124"/>
      <c r="M54" s="124"/>
      <c r="N54" s="124">
        <f aca="true" t="shared" si="30" ref="N54:N62">ROUND(IF(AND(J54&lt;=3,K54&gt;$N$3),$N$3,K54),-2)</f>
        <v>2275300</v>
      </c>
      <c r="O54" s="124">
        <f aca="true" t="shared" si="31" ref="O54:O62">ROUND(IF(G54="A+",(N54*100%+L54-M54+200000),IF(G54="A",(N54*100%+L54-M54),IF(G54="B",(N54*80%+L54-M54),(N54*60%+L54-M54)))),-2)</f>
        <v>1820200</v>
      </c>
      <c r="P54" s="124">
        <f>ROUND((O54/3*2.5+N54/3*0.5),-2)</f>
        <v>1896100</v>
      </c>
      <c r="Q54" s="212" t="s">
        <v>397</v>
      </c>
    </row>
    <row r="55" spans="1:17" s="63" customFormat="1" ht="19.5" customHeight="1">
      <c r="A55" s="181">
        <v>2</v>
      </c>
      <c r="B55" s="104" t="s">
        <v>145</v>
      </c>
      <c r="C55" s="105" t="s">
        <v>50</v>
      </c>
      <c r="D55" s="106">
        <v>4.32</v>
      </c>
      <c r="E55" s="107" t="s">
        <v>19</v>
      </c>
      <c r="F55" s="108">
        <f t="shared" si="27"/>
        <v>300000</v>
      </c>
      <c r="G55" s="109" t="s">
        <v>367</v>
      </c>
      <c r="H55" s="115">
        <v>0.3</v>
      </c>
      <c r="I55" s="116"/>
      <c r="J55" s="110">
        <f t="shared" si="28"/>
        <v>4.62</v>
      </c>
      <c r="K55" s="108">
        <f t="shared" si="29"/>
        <v>2818200</v>
      </c>
      <c r="L55" s="108"/>
      <c r="M55" s="108"/>
      <c r="N55" s="108">
        <f t="shared" si="30"/>
        <v>2818200</v>
      </c>
      <c r="O55" s="124">
        <f t="shared" si="31"/>
        <v>3018200</v>
      </c>
      <c r="P55" s="124">
        <f>O55</f>
        <v>3018200</v>
      </c>
      <c r="Q55" s="218"/>
    </row>
    <row r="56" spans="1:17" s="63" customFormat="1" ht="19.5" customHeight="1">
      <c r="A56" s="181">
        <v>3</v>
      </c>
      <c r="B56" s="104" t="s">
        <v>132</v>
      </c>
      <c r="C56" s="105" t="s">
        <v>78</v>
      </c>
      <c r="D56" s="106">
        <v>3</v>
      </c>
      <c r="E56" s="107" t="s">
        <v>19</v>
      </c>
      <c r="F56" s="108">
        <f t="shared" si="27"/>
        <v>300000</v>
      </c>
      <c r="G56" s="109" t="s">
        <v>367</v>
      </c>
      <c r="H56" s="110">
        <v>0.3</v>
      </c>
      <c r="I56" s="111"/>
      <c r="J56" s="110">
        <f t="shared" si="28"/>
        <v>3.3</v>
      </c>
      <c r="K56" s="108">
        <f t="shared" si="29"/>
        <v>2013000</v>
      </c>
      <c r="L56" s="108"/>
      <c r="M56" s="108"/>
      <c r="N56" s="108">
        <f t="shared" si="30"/>
        <v>2013000</v>
      </c>
      <c r="O56" s="124">
        <f t="shared" si="31"/>
        <v>2213000</v>
      </c>
      <c r="P56" s="124">
        <f>O56</f>
        <v>2213000</v>
      </c>
      <c r="Q56" s="212"/>
    </row>
    <row r="57" spans="1:17" s="63" customFormat="1" ht="23.25" customHeight="1">
      <c r="A57" s="181">
        <v>4</v>
      </c>
      <c r="B57" s="104" t="s">
        <v>136</v>
      </c>
      <c r="C57" s="105" t="s">
        <v>52</v>
      </c>
      <c r="D57" s="106">
        <v>2.66</v>
      </c>
      <c r="E57" s="107" t="s">
        <v>25</v>
      </c>
      <c r="F57" s="108">
        <f t="shared" si="27"/>
        <v>200000</v>
      </c>
      <c r="G57" s="109" t="s">
        <v>20</v>
      </c>
      <c r="H57" s="110"/>
      <c r="I57" s="111"/>
      <c r="J57" s="110">
        <f t="shared" si="28"/>
        <v>2.66</v>
      </c>
      <c r="K57" s="108">
        <f t="shared" si="29"/>
        <v>1822600</v>
      </c>
      <c r="L57" s="108"/>
      <c r="M57" s="108"/>
      <c r="N57" s="108">
        <f t="shared" si="30"/>
        <v>1822600</v>
      </c>
      <c r="O57" s="124">
        <f t="shared" si="31"/>
        <v>1822600</v>
      </c>
      <c r="P57" s="124">
        <f>ROUND((O57/3*1.5+O57/3*1.5*80%),-2)</f>
        <v>1640300</v>
      </c>
      <c r="Q57" s="212" t="s">
        <v>398</v>
      </c>
    </row>
    <row r="58" spans="1:17" s="63" customFormat="1" ht="21" customHeight="1">
      <c r="A58" s="181">
        <v>5</v>
      </c>
      <c r="B58" s="104" t="s">
        <v>137</v>
      </c>
      <c r="C58" s="105"/>
      <c r="D58" s="106">
        <v>2.66</v>
      </c>
      <c r="E58" s="107" t="s">
        <v>25</v>
      </c>
      <c r="F58" s="108">
        <f t="shared" si="27"/>
        <v>200000</v>
      </c>
      <c r="G58" s="109" t="s">
        <v>20</v>
      </c>
      <c r="H58" s="110"/>
      <c r="I58" s="111"/>
      <c r="J58" s="110">
        <f t="shared" si="28"/>
        <v>2.66</v>
      </c>
      <c r="K58" s="108">
        <f t="shared" si="29"/>
        <v>1822600</v>
      </c>
      <c r="L58" s="108"/>
      <c r="M58" s="108"/>
      <c r="N58" s="108">
        <f t="shared" si="30"/>
        <v>1822600</v>
      </c>
      <c r="O58" s="124">
        <f t="shared" si="31"/>
        <v>1822600</v>
      </c>
      <c r="P58" s="124">
        <f>O58</f>
        <v>1822600</v>
      </c>
      <c r="Q58" s="212"/>
    </row>
    <row r="59" spans="1:17" s="63" customFormat="1" ht="25.5" customHeight="1">
      <c r="A59" s="181">
        <v>6</v>
      </c>
      <c r="B59" s="104" t="s">
        <v>135</v>
      </c>
      <c r="C59" s="105" t="s">
        <v>30</v>
      </c>
      <c r="D59" s="106">
        <v>2.86</v>
      </c>
      <c r="E59" s="107" t="s">
        <v>25</v>
      </c>
      <c r="F59" s="108">
        <f t="shared" si="27"/>
        <v>200000</v>
      </c>
      <c r="G59" s="109" t="s">
        <v>48</v>
      </c>
      <c r="H59" s="110"/>
      <c r="I59" s="111"/>
      <c r="J59" s="110">
        <f t="shared" si="28"/>
        <v>2.86</v>
      </c>
      <c r="K59" s="108">
        <f t="shared" si="29"/>
        <v>1944600</v>
      </c>
      <c r="L59" s="108"/>
      <c r="M59" s="108"/>
      <c r="N59" s="108">
        <f t="shared" si="30"/>
        <v>1830000</v>
      </c>
      <c r="O59" s="124">
        <f t="shared" si="31"/>
        <v>1464000</v>
      </c>
      <c r="P59" s="124">
        <f>O59</f>
        <v>1464000</v>
      </c>
      <c r="Q59" s="212" t="s">
        <v>404</v>
      </c>
    </row>
    <row r="60" spans="1:17" s="63" customFormat="1" ht="19.5" customHeight="1">
      <c r="A60" s="181">
        <v>7</v>
      </c>
      <c r="B60" s="104" t="s">
        <v>133</v>
      </c>
      <c r="C60" s="105" t="s">
        <v>30</v>
      </c>
      <c r="D60" s="106">
        <v>2.86</v>
      </c>
      <c r="E60" s="107" t="s">
        <v>25</v>
      </c>
      <c r="F60" s="108">
        <f t="shared" si="27"/>
        <v>200000</v>
      </c>
      <c r="G60" s="109" t="s">
        <v>48</v>
      </c>
      <c r="H60" s="110"/>
      <c r="I60" s="111"/>
      <c r="J60" s="110">
        <f t="shared" si="28"/>
        <v>2.86</v>
      </c>
      <c r="K60" s="108">
        <f t="shared" si="29"/>
        <v>1944600</v>
      </c>
      <c r="L60" s="108"/>
      <c r="M60" s="108"/>
      <c r="N60" s="108">
        <f t="shared" si="30"/>
        <v>1830000</v>
      </c>
      <c r="O60" s="124">
        <f t="shared" si="31"/>
        <v>1464000</v>
      </c>
      <c r="P60" s="124">
        <f>ROUND((O60/3*1+80%*O60/3*2),-2)</f>
        <v>1268800</v>
      </c>
      <c r="Q60" s="212" t="s">
        <v>373</v>
      </c>
    </row>
    <row r="61" spans="1:17" s="63" customFormat="1" ht="19.5" customHeight="1">
      <c r="A61" s="181">
        <v>8</v>
      </c>
      <c r="B61" s="104" t="s">
        <v>207</v>
      </c>
      <c r="C61" s="104"/>
      <c r="D61" s="106">
        <v>2.26</v>
      </c>
      <c r="E61" s="107" t="s">
        <v>25</v>
      </c>
      <c r="F61" s="108">
        <f t="shared" si="27"/>
        <v>200000</v>
      </c>
      <c r="G61" s="109" t="s">
        <v>20</v>
      </c>
      <c r="H61" s="115"/>
      <c r="I61" s="116"/>
      <c r="J61" s="110">
        <f t="shared" si="28"/>
        <v>2.26</v>
      </c>
      <c r="K61" s="108">
        <f t="shared" si="29"/>
        <v>1578600</v>
      </c>
      <c r="L61" s="108"/>
      <c r="M61" s="108"/>
      <c r="N61" s="108">
        <f t="shared" si="30"/>
        <v>1578600</v>
      </c>
      <c r="O61" s="124">
        <f t="shared" si="31"/>
        <v>1578600</v>
      </c>
      <c r="P61" s="124">
        <f>O61</f>
        <v>1578600</v>
      </c>
      <c r="Q61" s="218"/>
    </row>
    <row r="62" spans="1:17" s="63" customFormat="1" ht="19.5" customHeight="1">
      <c r="A62" s="181">
        <v>9</v>
      </c>
      <c r="B62" s="129" t="s">
        <v>138</v>
      </c>
      <c r="C62" s="130"/>
      <c r="D62" s="131">
        <v>2.91</v>
      </c>
      <c r="E62" s="132" t="s">
        <v>25</v>
      </c>
      <c r="F62" s="133">
        <f t="shared" si="27"/>
        <v>200000</v>
      </c>
      <c r="G62" s="109" t="s">
        <v>20</v>
      </c>
      <c r="H62" s="135"/>
      <c r="I62" s="136"/>
      <c r="J62" s="135">
        <f t="shared" si="28"/>
        <v>2.91</v>
      </c>
      <c r="K62" s="133">
        <f t="shared" si="29"/>
        <v>1975100</v>
      </c>
      <c r="L62" s="133"/>
      <c r="M62" s="133"/>
      <c r="N62" s="133">
        <f t="shared" si="30"/>
        <v>1830000</v>
      </c>
      <c r="O62" s="124">
        <f t="shared" si="31"/>
        <v>1830000</v>
      </c>
      <c r="P62" s="124">
        <f>O62</f>
        <v>1830000</v>
      </c>
      <c r="Q62" s="212"/>
    </row>
    <row r="63" spans="1:17" s="63" customFormat="1" ht="19.5" customHeight="1">
      <c r="A63" s="182">
        <f>COUNT(A54:A62)</f>
        <v>9</v>
      </c>
      <c r="B63" s="93" t="s">
        <v>199</v>
      </c>
      <c r="C63" s="53"/>
      <c r="D63" s="38">
        <f>SUM(D54:D62)</f>
        <v>26.860000000000003</v>
      </c>
      <c r="E63" s="38">
        <f aca="true" t="shared" si="32" ref="E63:J63">SUM(E54:E62)</f>
        <v>0</v>
      </c>
      <c r="F63" s="94">
        <f t="shared" si="32"/>
        <v>2100000</v>
      </c>
      <c r="G63" s="67">
        <f t="shared" si="32"/>
        <v>0</v>
      </c>
      <c r="H63" s="38">
        <f t="shared" si="32"/>
        <v>1</v>
      </c>
      <c r="I63" s="38">
        <f t="shared" si="32"/>
        <v>0</v>
      </c>
      <c r="J63" s="38">
        <f t="shared" si="32"/>
        <v>27.859999999999996</v>
      </c>
      <c r="K63" s="43">
        <f aca="true" t="shared" si="33" ref="K63:P63">SUM(K54:K62)</f>
        <v>18194600</v>
      </c>
      <c r="L63" s="43">
        <f t="shared" si="33"/>
        <v>0</v>
      </c>
      <c r="M63" s="43">
        <f t="shared" si="33"/>
        <v>0</v>
      </c>
      <c r="N63" s="43">
        <f t="shared" si="33"/>
        <v>17820300</v>
      </c>
      <c r="O63" s="43">
        <f t="shared" si="33"/>
        <v>17033200</v>
      </c>
      <c r="P63" s="43">
        <f t="shared" si="33"/>
        <v>16731600</v>
      </c>
      <c r="Q63" s="219"/>
    </row>
    <row r="64" spans="1:17" s="63" customFormat="1" ht="19.5" customHeight="1">
      <c r="A64" s="182" t="s">
        <v>100</v>
      </c>
      <c r="B64" s="252" t="s">
        <v>201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3"/>
    </row>
    <row r="65" spans="1:17" s="63" customFormat="1" ht="19.5" customHeight="1">
      <c r="A65" s="180">
        <v>1</v>
      </c>
      <c r="B65" s="120" t="s">
        <v>82</v>
      </c>
      <c r="C65" s="121" t="s">
        <v>22</v>
      </c>
      <c r="D65" s="122">
        <v>4.74</v>
      </c>
      <c r="E65" s="139" t="s">
        <v>19</v>
      </c>
      <c r="F65" s="124">
        <f aca="true" t="shared" si="34" ref="F65:F74">IF(E65="ĐH",300000,IF(E65="CĐ",300000,200000))</f>
        <v>300000</v>
      </c>
      <c r="G65" s="109" t="s">
        <v>20</v>
      </c>
      <c r="H65" s="126">
        <v>0.4</v>
      </c>
      <c r="I65" s="127"/>
      <c r="J65" s="126">
        <f aca="true" t="shared" si="35" ref="J65:J74">D65+H65+I65*D65</f>
        <v>5.140000000000001</v>
      </c>
      <c r="K65" s="124">
        <f aca="true" t="shared" si="36" ref="K65:K74">ROUND(IF(AND(E65="ĐH",J65&lt;=3),$K$3*J65+300000,IF(AND(E65="CĐ",J65&lt;=3),J65*$K$3+300000,IF(AND(E65="K",J65&lt;=3),J65*$K$3+200000,J65*$K$3))),-2)</f>
        <v>3135400</v>
      </c>
      <c r="L65" s="124"/>
      <c r="M65" s="124"/>
      <c r="N65" s="124">
        <f aca="true" t="shared" si="37" ref="N65:N74">ROUND(IF(AND(J65&lt;=3,K65&gt;$N$3),$N$3,K65),-2)</f>
        <v>3135400</v>
      </c>
      <c r="O65" s="124">
        <f aca="true" t="shared" si="38" ref="O65:O74">ROUND(IF(G65="A+",(N65*100%+L65-M65+200000),IF(G65="A",(N65*100%+L65-M65),IF(G65="B",(N65*80%+L65-M65),(N65*60%+L65-M65)))),-2)</f>
        <v>3135400</v>
      </c>
      <c r="P65" s="124">
        <f>O65</f>
        <v>3135400</v>
      </c>
      <c r="Q65" s="212"/>
    </row>
    <row r="66" spans="1:17" s="63" customFormat="1" ht="19.5" customHeight="1">
      <c r="A66" s="181">
        <v>2</v>
      </c>
      <c r="B66" s="104" t="s">
        <v>83</v>
      </c>
      <c r="C66" s="105" t="s">
        <v>84</v>
      </c>
      <c r="D66" s="106">
        <v>4.74</v>
      </c>
      <c r="E66" s="112" t="s">
        <v>19</v>
      </c>
      <c r="F66" s="108">
        <f t="shared" si="34"/>
        <v>300000</v>
      </c>
      <c r="G66" s="109" t="s">
        <v>20</v>
      </c>
      <c r="H66" s="110">
        <v>0.3</v>
      </c>
      <c r="I66" s="111"/>
      <c r="J66" s="110">
        <f t="shared" si="35"/>
        <v>5.04</v>
      </c>
      <c r="K66" s="108">
        <f t="shared" si="36"/>
        <v>3074400</v>
      </c>
      <c r="L66" s="108"/>
      <c r="M66" s="108"/>
      <c r="N66" s="108">
        <f t="shared" si="37"/>
        <v>3074400</v>
      </c>
      <c r="O66" s="124">
        <f t="shared" si="38"/>
        <v>3074400</v>
      </c>
      <c r="P66" s="124">
        <f aca="true" t="shared" si="39" ref="P66:P74">O66</f>
        <v>3074400</v>
      </c>
      <c r="Q66" s="212"/>
    </row>
    <row r="67" spans="1:17" s="63" customFormat="1" ht="19.5" customHeight="1">
      <c r="A67" s="181">
        <v>3</v>
      </c>
      <c r="B67" s="104" t="s">
        <v>99</v>
      </c>
      <c r="C67" s="105" t="s">
        <v>52</v>
      </c>
      <c r="D67" s="106">
        <v>4.65</v>
      </c>
      <c r="E67" s="112" t="s">
        <v>19</v>
      </c>
      <c r="F67" s="108">
        <f t="shared" si="34"/>
        <v>300000</v>
      </c>
      <c r="G67" s="109" t="s">
        <v>20</v>
      </c>
      <c r="H67" s="110"/>
      <c r="I67" s="111"/>
      <c r="J67" s="110">
        <f t="shared" si="35"/>
        <v>4.65</v>
      </c>
      <c r="K67" s="108">
        <f t="shared" si="36"/>
        <v>2836500</v>
      </c>
      <c r="L67" s="108"/>
      <c r="M67" s="108"/>
      <c r="N67" s="108">
        <f t="shared" si="37"/>
        <v>2836500</v>
      </c>
      <c r="O67" s="124">
        <f t="shared" si="38"/>
        <v>2836500</v>
      </c>
      <c r="P67" s="124">
        <f t="shared" si="39"/>
        <v>2836500</v>
      </c>
      <c r="Q67" s="212"/>
    </row>
    <row r="68" spans="1:17" s="63" customFormat="1" ht="27" customHeight="1">
      <c r="A68" s="181">
        <v>4</v>
      </c>
      <c r="B68" s="104" t="s">
        <v>88</v>
      </c>
      <c r="C68" s="105" t="s">
        <v>89</v>
      </c>
      <c r="D68" s="106">
        <v>4.06</v>
      </c>
      <c r="E68" s="112" t="s">
        <v>25</v>
      </c>
      <c r="F68" s="108">
        <f t="shared" si="34"/>
        <v>200000</v>
      </c>
      <c r="G68" s="109" t="s">
        <v>20</v>
      </c>
      <c r="H68" s="110"/>
      <c r="I68" s="111"/>
      <c r="J68" s="110">
        <f t="shared" si="35"/>
        <v>4.06</v>
      </c>
      <c r="K68" s="108">
        <f t="shared" si="36"/>
        <v>2476600</v>
      </c>
      <c r="L68" s="108"/>
      <c r="M68" s="108"/>
      <c r="N68" s="108">
        <f t="shared" si="37"/>
        <v>2476600</v>
      </c>
      <c r="O68" s="124">
        <f t="shared" si="38"/>
        <v>2476600</v>
      </c>
      <c r="P68" s="124">
        <f t="shared" si="39"/>
        <v>2476600</v>
      </c>
      <c r="Q68" s="212"/>
    </row>
    <row r="69" spans="1:17" s="63" customFormat="1" ht="24.75" customHeight="1">
      <c r="A69" s="181">
        <v>5</v>
      </c>
      <c r="B69" s="104" t="s">
        <v>90</v>
      </c>
      <c r="C69" s="105" t="s">
        <v>27</v>
      </c>
      <c r="D69" s="106">
        <v>4.06</v>
      </c>
      <c r="E69" s="112" t="s">
        <v>25</v>
      </c>
      <c r="F69" s="108">
        <f t="shared" si="34"/>
        <v>200000</v>
      </c>
      <c r="G69" s="109" t="s">
        <v>367</v>
      </c>
      <c r="H69" s="110">
        <v>0.3</v>
      </c>
      <c r="I69" s="111">
        <v>0.07</v>
      </c>
      <c r="J69" s="110">
        <f t="shared" si="35"/>
        <v>4.6442</v>
      </c>
      <c r="K69" s="108">
        <f t="shared" si="36"/>
        <v>2833000</v>
      </c>
      <c r="L69" s="108"/>
      <c r="M69" s="108"/>
      <c r="N69" s="108">
        <f t="shared" si="37"/>
        <v>2833000</v>
      </c>
      <c r="O69" s="124">
        <f t="shared" si="38"/>
        <v>3033000</v>
      </c>
      <c r="P69" s="124">
        <f t="shared" si="39"/>
        <v>3033000</v>
      </c>
      <c r="Q69" s="212"/>
    </row>
    <row r="70" spans="1:17" s="63" customFormat="1" ht="23.25" customHeight="1">
      <c r="A70" s="181">
        <v>6</v>
      </c>
      <c r="B70" s="104" t="s">
        <v>79</v>
      </c>
      <c r="C70" s="114" t="s">
        <v>78</v>
      </c>
      <c r="D70" s="106">
        <v>2.46</v>
      </c>
      <c r="E70" s="112" t="s">
        <v>25</v>
      </c>
      <c r="F70" s="108">
        <f t="shared" si="34"/>
        <v>200000</v>
      </c>
      <c r="G70" s="109" t="s">
        <v>48</v>
      </c>
      <c r="H70" s="110"/>
      <c r="I70" s="111"/>
      <c r="J70" s="110">
        <f t="shared" si="35"/>
        <v>2.46</v>
      </c>
      <c r="K70" s="108">
        <f t="shared" si="36"/>
        <v>1700600</v>
      </c>
      <c r="L70" s="108"/>
      <c r="M70" s="108"/>
      <c r="N70" s="108">
        <f t="shared" si="37"/>
        <v>1700600</v>
      </c>
      <c r="O70" s="124">
        <f t="shared" si="38"/>
        <v>1360500</v>
      </c>
      <c r="P70" s="124">
        <f>ROUND(O70/3*2+80%*O70/3,-2)</f>
        <v>1269800</v>
      </c>
      <c r="Q70" s="212" t="s">
        <v>402</v>
      </c>
    </row>
    <row r="71" spans="1:17" s="63" customFormat="1" ht="19.5" customHeight="1">
      <c r="A71" s="181">
        <v>7</v>
      </c>
      <c r="B71" s="104" t="s">
        <v>95</v>
      </c>
      <c r="C71" s="105" t="s">
        <v>96</v>
      </c>
      <c r="D71" s="106">
        <v>2.46</v>
      </c>
      <c r="E71" s="112" t="s">
        <v>25</v>
      </c>
      <c r="F71" s="108">
        <f t="shared" si="34"/>
        <v>200000</v>
      </c>
      <c r="G71" s="109" t="s">
        <v>20</v>
      </c>
      <c r="H71" s="110"/>
      <c r="I71" s="111"/>
      <c r="J71" s="110">
        <f t="shared" si="35"/>
        <v>2.46</v>
      </c>
      <c r="K71" s="108">
        <f t="shared" si="36"/>
        <v>1700600</v>
      </c>
      <c r="L71" s="108"/>
      <c r="M71" s="108"/>
      <c r="N71" s="108">
        <f t="shared" si="37"/>
        <v>1700600</v>
      </c>
      <c r="O71" s="124">
        <f t="shared" si="38"/>
        <v>1700600</v>
      </c>
      <c r="P71" s="124">
        <f>ROUND((O71/3*1.5+O71/3*1.5*80%),-2)</f>
        <v>1530500</v>
      </c>
      <c r="Q71" s="220" t="s">
        <v>403</v>
      </c>
    </row>
    <row r="72" spans="1:17" s="63" customFormat="1" ht="19.5" customHeight="1">
      <c r="A72" s="181">
        <v>8</v>
      </c>
      <c r="B72" s="104" t="s">
        <v>97</v>
      </c>
      <c r="C72" s="105"/>
      <c r="D72" s="106">
        <v>2.26</v>
      </c>
      <c r="E72" s="112" t="s">
        <v>25</v>
      </c>
      <c r="F72" s="108">
        <f t="shared" si="34"/>
        <v>200000</v>
      </c>
      <c r="G72" s="109" t="s">
        <v>20</v>
      </c>
      <c r="H72" s="110"/>
      <c r="I72" s="111"/>
      <c r="J72" s="110">
        <f t="shared" si="35"/>
        <v>2.26</v>
      </c>
      <c r="K72" s="108">
        <f t="shared" si="36"/>
        <v>1578600</v>
      </c>
      <c r="L72" s="108"/>
      <c r="M72" s="108"/>
      <c r="N72" s="108">
        <f t="shared" si="37"/>
        <v>1578600</v>
      </c>
      <c r="O72" s="124">
        <f t="shared" si="38"/>
        <v>1578600</v>
      </c>
      <c r="P72" s="124">
        <f>ROUND(1578600/3+1456600/3*2,-2)</f>
        <v>1497300</v>
      </c>
      <c r="Q72" s="221"/>
    </row>
    <row r="73" spans="1:17" s="63" customFormat="1" ht="19.5" customHeight="1">
      <c r="A73" s="181">
        <v>9</v>
      </c>
      <c r="B73" s="104" t="s">
        <v>399</v>
      </c>
      <c r="C73" s="105"/>
      <c r="D73" s="106">
        <v>1.751</v>
      </c>
      <c r="E73" s="107" t="s">
        <v>28</v>
      </c>
      <c r="F73" s="108">
        <f t="shared" si="34"/>
        <v>300000</v>
      </c>
      <c r="G73" s="109" t="s">
        <v>20</v>
      </c>
      <c r="H73" s="115"/>
      <c r="I73" s="116"/>
      <c r="J73" s="110">
        <f t="shared" si="35"/>
        <v>1.751</v>
      </c>
      <c r="K73" s="108">
        <f t="shared" si="36"/>
        <v>1368100</v>
      </c>
      <c r="L73" s="108"/>
      <c r="M73" s="108"/>
      <c r="N73" s="108">
        <f t="shared" si="37"/>
        <v>1368100</v>
      </c>
      <c r="O73" s="124">
        <f t="shared" si="38"/>
        <v>1368100</v>
      </c>
      <c r="P73" s="124">
        <f>ROUND(O73/3*2.5,-2)</f>
        <v>1140100</v>
      </c>
      <c r="Q73" s="212" t="s">
        <v>390</v>
      </c>
    </row>
    <row r="74" spans="1:17" s="63" customFormat="1" ht="19.5" customHeight="1">
      <c r="A74" s="181">
        <v>10</v>
      </c>
      <c r="B74" s="104" t="s">
        <v>206</v>
      </c>
      <c r="C74" s="105"/>
      <c r="D74" s="106">
        <v>2.06</v>
      </c>
      <c r="E74" s="107" t="s">
        <v>25</v>
      </c>
      <c r="F74" s="108">
        <f t="shared" si="34"/>
        <v>200000</v>
      </c>
      <c r="G74" s="109" t="s">
        <v>367</v>
      </c>
      <c r="H74" s="115"/>
      <c r="I74" s="116"/>
      <c r="J74" s="110">
        <f t="shared" si="35"/>
        <v>2.06</v>
      </c>
      <c r="K74" s="108">
        <f t="shared" si="36"/>
        <v>1456600</v>
      </c>
      <c r="L74" s="108"/>
      <c r="M74" s="108"/>
      <c r="N74" s="108">
        <f t="shared" si="37"/>
        <v>1456600</v>
      </c>
      <c r="O74" s="124">
        <f t="shared" si="38"/>
        <v>1656600</v>
      </c>
      <c r="P74" s="124">
        <f t="shared" si="39"/>
        <v>1656600</v>
      </c>
      <c r="Q74" s="212"/>
    </row>
    <row r="75" spans="1:17" s="63" customFormat="1" ht="19.5" customHeight="1">
      <c r="A75" s="182">
        <f>COUNT(A65:A74)</f>
        <v>10</v>
      </c>
      <c r="B75" s="93" t="s">
        <v>199</v>
      </c>
      <c r="C75" s="53"/>
      <c r="D75" s="38">
        <f aca="true" t="shared" si="40" ref="D75:P75">SUM(D65:D74)</f>
        <v>33.241</v>
      </c>
      <c r="E75" s="38">
        <f t="shared" si="40"/>
        <v>0</v>
      </c>
      <c r="F75" s="94">
        <f t="shared" si="40"/>
        <v>2400000</v>
      </c>
      <c r="G75" s="67">
        <f t="shared" si="40"/>
        <v>0</v>
      </c>
      <c r="H75" s="38">
        <f t="shared" si="40"/>
        <v>1</v>
      </c>
      <c r="I75" s="38">
        <f t="shared" si="40"/>
        <v>0.07</v>
      </c>
      <c r="J75" s="38">
        <f t="shared" si="40"/>
        <v>34.5252</v>
      </c>
      <c r="K75" s="43">
        <f t="shared" si="40"/>
        <v>22160400</v>
      </c>
      <c r="L75" s="43">
        <f t="shared" si="40"/>
        <v>0</v>
      </c>
      <c r="M75" s="43">
        <f t="shared" si="40"/>
        <v>0</v>
      </c>
      <c r="N75" s="43">
        <f t="shared" si="40"/>
        <v>22160400</v>
      </c>
      <c r="O75" s="43">
        <f t="shared" si="40"/>
        <v>22220300</v>
      </c>
      <c r="P75" s="43">
        <f t="shared" si="40"/>
        <v>21650200</v>
      </c>
      <c r="Q75" s="219"/>
    </row>
    <row r="76" spans="1:17" s="63" customFormat="1" ht="19.5" customHeight="1">
      <c r="A76" s="182" t="s">
        <v>113</v>
      </c>
      <c r="B76" s="252" t="s">
        <v>202</v>
      </c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  <c r="N76" s="252"/>
      <c r="O76" s="252"/>
      <c r="P76" s="252"/>
      <c r="Q76" s="253"/>
    </row>
    <row r="77" spans="1:17" s="63" customFormat="1" ht="24.75" customHeight="1">
      <c r="A77" s="181">
        <v>1</v>
      </c>
      <c r="B77" s="104" t="s">
        <v>91</v>
      </c>
      <c r="C77" s="105" t="s">
        <v>89</v>
      </c>
      <c r="D77" s="106">
        <v>4.06</v>
      </c>
      <c r="E77" s="112" t="s">
        <v>25</v>
      </c>
      <c r="F77" s="108">
        <f aca="true" t="shared" si="41" ref="F77:F82">IF(E77="ĐH",300000,IF(E77="CĐ",300000,200000))</f>
        <v>200000</v>
      </c>
      <c r="G77" s="125" t="s">
        <v>20</v>
      </c>
      <c r="H77" s="110"/>
      <c r="I77" s="111">
        <v>0.05</v>
      </c>
      <c r="J77" s="110">
        <f aca="true" t="shared" si="42" ref="J77:J82">D77+H77+I77*D77</f>
        <v>4.263</v>
      </c>
      <c r="K77" s="108">
        <f aca="true" t="shared" si="43" ref="K77:K82">ROUND(IF(AND(E77="ĐH",J77&lt;=3),$K$3*J77+300000,IF(AND(E77="CĐ",J77&lt;=3),J77*$K$3+300000,IF(AND(E77="K",J77&lt;=3),J77*$K$3+200000,J77*$K$3))),-2)</f>
        <v>2600400</v>
      </c>
      <c r="L77" s="108"/>
      <c r="M77" s="108"/>
      <c r="N77" s="108">
        <f aca="true" t="shared" si="44" ref="N77:N82">ROUND(IF(AND(J77&lt;=3,K77&gt;$N$3),$N$3,K77),-2)</f>
        <v>2600400</v>
      </c>
      <c r="O77" s="124">
        <f aca="true" t="shared" si="45" ref="O77:O82">ROUND(IF(G77="A+",(N77*100%+L77-M77+200000),IF(G77="A",(N77*100%+L77-M77),IF(G77="B",(N77*80%+L77-M77),(N77*60%+L77-M77)))),-2)</f>
        <v>2600400</v>
      </c>
      <c r="P77" s="124">
        <f>O77</f>
        <v>2600400</v>
      </c>
      <c r="Q77" s="212"/>
    </row>
    <row r="78" spans="1:17" s="63" customFormat="1" ht="19.5" customHeight="1">
      <c r="A78" s="181">
        <v>2</v>
      </c>
      <c r="B78" s="104" t="s">
        <v>92</v>
      </c>
      <c r="C78" s="105" t="s">
        <v>71</v>
      </c>
      <c r="D78" s="106">
        <v>3.66</v>
      </c>
      <c r="E78" s="112" t="s">
        <v>25</v>
      </c>
      <c r="F78" s="108">
        <f t="shared" si="41"/>
        <v>200000</v>
      </c>
      <c r="G78" s="125" t="s">
        <v>20</v>
      </c>
      <c r="H78" s="110"/>
      <c r="I78" s="111"/>
      <c r="J78" s="110">
        <f t="shared" si="42"/>
        <v>3.66</v>
      </c>
      <c r="K78" s="108">
        <f t="shared" si="43"/>
        <v>2232600</v>
      </c>
      <c r="L78" s="108"/>
      <c r="M78" s="108"/>
      <c r="N78" s="108">
        <f t="shared" si="44"/>
        <v>2232600</v>
      </c>
      <c r="O78" s="124">
        <f t="shared" si="45"/>
        <v>2232600</v>
      </c>
      <c r="P78" s="124">
        <f>O78</f>
        <v>2232600</v>
      </c>
      <c r="Q78" s="212"/>
    </row>
    <row r="79" spans="1:17" s="63" customFormat="1" ht="19.5" customHeight="1">
      <c r="A79" s="181">
        <v>3</v>
      </c>
      <c r="B79" s="104" t="s">
        <v>93</v>
      </c>
      <c r="C79" s="105" t="s">
        <v>69</v>
      </c>
      <c r="D79" s="106">
        <v>3.66</v>
      </c>
      <c r="E79" s="112" t="s">
        <v>19</v>
      </c>
      <c r="F79" s="108">
        <f t="shared" si="41"/>
        <v>300000</v>
      </c>
      <c r="G79" s="125" t="s">
        <v>20</v>
      </c>
      <c r="H79" s="110"/>
      <c r="I79" s="111"/>
      <c r="J79" s="110">
        <f t="shared" si="42"/>
        <v>3.66</v>
      </c>
      <c r="K79" s="108">
        <f t="shared" si="43"/>
        <v>2232600</v>
      </c>
      <c r="L79" s="108"/>
      <c r="M79" s="108"/>
      <c r="N79" s="108">
        <f t="shared" si="44"/>
        <v>2232600</v>
      </c>
      <c r="O79" s="124">
        <f t="shared" si="45"/>
        <v>2232600</v>
      </c>
      <c r="P79" s="124">
        <f>O79</f>
        <v>2232600</v>
      </c>
      <c r="Q79" s="212"/>
    </row>
    <row r="80" spans="1:17" s="63" customFormat="1" ht="19.5" customHeight="1">
      <c r="A80" s="181">
        <v>4</v>
      </c>
      <c r="B80" s="104" t="s">
        <v>214</v>
      </c>
      <c r="C80" s="105"/>
      <c r="D80" s="106">
        <v>3.66</v>
      </c>
      <c r="E80" s="112" t="s">
        <v>19</v>
      </c>
      <c r="F80" s="108">
        <f t="shared" si="41"/>
        <v>300000</v>
      </c>
      <c r="G80" s="109" t="s">
        <v>367</v>
      </c>
      <c r="H80" s="110">
        <v>0.3</v>
      </c>
      <c r="I80" s="111"/>
      <c r="J80" s="110">
        <f t="shared" si="42"/>
        <v>3.96</v>
      </c>
      <c r="K80" s="108">
        <f t="shared" si="43"/>
        <v>2415600</v>
      </c>
      <c r="L80" s="108"/>
      <c r="M80" s="108"/>
      <c r="N80" s="108">
        <f t="shared" si="44"/>
        <v>2415600</v>
      </c>
      <c r="O80" s="124">
        <f t="shared" si="45"/>
        <v>2615600</v>
      </c>
      <c r="P80" s="124">
        <f>O80</f>
        <v>2615600</v>
      </c>
      <c r="Q80" s="212"/>
    </row>
    <row r="81" spans="1:17" s="63" customFormat="1" ht="19.5" customHeight="1">
      <c r="A81" s="181">
        <v>5</v>
      </c>
      <c r="B81" s="104" t="s">
        <v>94</v>
      </c>
      <c r="C81" s="105" t="s">
        <v>75</v>
      </c>
      <c r="D81" s="106">
        <v>3.33</v>
      </c>
      <c r="E81" s="112" t="s">
        <v>19</v>
      </c>
      <c r="F81" s="108">
        <f t="shared" si="41"/>
        <v>300000</v>
      </c>
      <c r="G81" s="134" t="s">
        <v>20</v>
      </c>
      <c r="H81" s="110">
        <v>0.3</v>
      </c>
      <c r="I81" s="111"/>
      <c r="J81" s="110">
        <f t="shared" si="42"/>
        <v>3.63</v>
      </c>
      <c r="K81" s="108">
        <f t="shared" si="43"/>
        <v>2214300</v>
      </c>
      <c r="L81" s="108"/>
      <c r="M81" s="108"/>
      <c r="N81" s="108">
        <f t="shared" si="44"/>
        <v>2214300</v>
      </c>
      <c r="O81" s="124">
        <f t="shared" si="45"/>
        <v>2214300</v>
      </c>
      <c r="P81" s="124">
        <f>O81</f>
        <v>2214300</v>
      </c>
      <c r="Q81" s="212"/>
    </row>
    <row r="82" spans="1:17" s="63" customFormat="1" ht="19.5" customHeight="1">
      <c r="A82" s="181">
        <v>6</v>
      </c>
      <c r="B82" s="129" t="s">
        <v>98</v>
      </c>
      <c r="C82" s="130"/>
      <c r="D82" s="131">
        <v>2.26</v>
      </c>
      <c r="E82" s="140" t="s">
        <v>25</v>
      </c>
      <c r="F82" s="133">
        <f t="shared" si="41"/>
        <v>200000</v>
      </c>
      <c r="G82" s="134" t="s">
        <v>20</v>
      </c>
      <c r="H82" s="135"/>
      <c r="I82" s="136"/>
      <c r="J82" s="135">
        <f t="shared" si="42"/>
        <v>2.26</v>
      </c>
      <c r="K82" s="133">
        <f t="shared" si="43"/>
        <v>1578600</v>
      </c>
      <c r="L82" s="133"/>
      <c r="M82" s="133"/>
      <c r="N82" s="133">
        <f t="shared" si="44"/>
        <v>1578600</v>
      </c>
      <c r="O82" s="124">
        <f t="shared" si="45"/>
        <v>1578600</v>
      </c>
      <c r="P82" s="124">
        <f>ROUND(1578600/3+1456600/3*2,-2)</f>
        <v>1497300</v>
      </c>
      <c r="Q82" s="212"/>
    </row>
    <row r="83" spans="1:17" s="63" customFormat="1" ht="19.5" customHeight="1">
      <c r="A83" s="183">
        <f>COUNT(A77:A82)</f>
        <v>6</v>
      </c>
      <c r="B83" s="93" t="s">
        <v>43</v>
      </c>
      <c r="C83" s="53"/>
      <c r="D83" s="38">
        <f aca="true" t="shared" si="46" ref="D83:P83">SUM(D77:D82)</f>
        <v>20.629999999999995</v>
      </c>
      <c r="E83" s="38">
        <f t="shared" si="46"/>
        <v>0</v>
      </c>
      <c r="F83" s="38">
        <f t="shared" si="46"/>
        <v>1500000</v>
      </c>
      <c r="G83" s="67">
        <f t="shared" si="46"/>
        <v>0</v>
      </c>
      <c r="H83" s="38">
        <f t="shared" si="46"/>
        <v>0.6</v>
      </c>
      <c r="I83" s="38">
        <f t="shared" si="46"/>
        <v>0.05</v>
      </c>
      <c r="J83" s="38">
        <f t="shared" si="46"/>
        <v>21.433</v>
      </c>
      <c r="K83" s="38">
        <f t="shared" si="46"/>
        <v>13274100</v>
      </c>
      <c r="L83" s="64">
        <f t="shared" si="46"/>
        <v>0</v>
      </c>
      <c r="M83" s="43">
        <f t="shared" si="46"/>
        <v>0</v>
      </c>
      <c r="N83" s="64">
        <f t="shared" si="46"/>
        <v>13274100</v>
      </c>
      <c r="O83" s="43">
        <f t="shared" si="46"/>
        <v>13474100</v>
      </c>
      <c r="P83" s="43">
        <f t="shared" si="46"/>
        <v>13392800</v>
      </c>
      <c r="Q83" s="219"/>
    </row>
    <row r="84" spans="1:17" s="63" customFormat="1" ht="19.5" customHeight="1">
      <c r="A84" s="182" t="s">
        <v>125</v>
      </c>
      <c r="B84" s="252" t="s">
        <v>101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3"/>
    </row>
    <row r="85" spans="1:17" s="63" customFormat="1" ht="26.25" customHeight="1">
      <c r="A85" s="180">
        <v>1</v>
      </c>
      <c r="B85" s="120" t="s">
        <v>102</v>
      </c>
      <c r="C85" s="121" t="s">
        <v>103</v>
      </c>
      <c r="D85" s="122">
        <v>4.06</v>
      </c>
      <c r="E85" s="123" t="s">
        <v>25</v>
      </c>
      <c r="F85" s="124">
        <f aca="true" t="shared" si="47" ref="F85:F90">IF(E85="ĐH",300000,IF(E85="CĐ",300000,200000))</f>
        <v>200000</v>
      </c>
      <c r="G85" s="125" t="s">
        <v>20</v>
      </c>
      <c r="H85" s="126">
        <v>0.3</v>
      </c>
      <c r="I85" s="127">
        <v>0.1</v>
      </c>
      <c r="J85" s="126">
        <f aca="true" t="shared" si="48" ref="J85:J92">D85+H85+I85*D85</f>
        <v>4.765999999999999</v>
      </c>
      <c r="K85" s="124">
        <f aca="true" t="shared" si="49" ref="K85:K91">ROUND(IF(AND(E85="ĐH",J85&lt;=3),$K$3*J85+300000,IF(AND(E85="CĐ",J85&lt;=3),J85*$K$3+300000,IF(AND(E85="K",J85&lt;=3),J85*$K$3+200000,J85*$K$3))),-2)</f>
        <v>2907300</v>
      </c>
      <c r="L85" s="124"/>
      <c r="M85" s="124"/>
      <c r="N85" s="124">
        <f aca="true" t="shared" si="50" ref="N85:N91">ROUND(IF(AND(J85&lt;=3,K85&gt;$N$3),$N$3,K85),-2)</f>
        <v>2907300</v>
      </c>
      <c r="O85" s="124">
        <f aca="true" t="shared" si="51" ref="O85:O91">ROUND(IF(G85="A+",(N85*100%+L85-M85+200000),IF(G85="A",(N85*100%+L85-M85),IF(G85="B",(N85*80%+L85-M85),(N85*60%+L85-M85)))),-2)</f>
        <v>2907300</v>
      </c>
      <c r="P85" s="124">
        <f>O85</f>
        <v>2907300</v>
      </c>
      <c r="Q85" s="212"/>
    </row>
    <row r="86" spans="1:17" s="63" customFormat="1" ht="19.5" customHeight="1">
      <c r="A86" s="181">
        <v>2</v>
      </c>
      <c r="B86" s="104" t="s">
        <v>104</v>
      </c>
      <c r="C86" s="105" t="s">
        <v>27</v>
      </c>
      <c r="D86" s="106">
        <v>4.65</v>
      </c>
      <c r="E86" s="107" t="s">
        <v>19</v>
      </c>
      <c r="F86" s="108">
        <f t="shared" si="47"/>
        <v>300000</v>
      </c>
      <c r="G86" s="134" t="s">
        <v>367</v>
      </c>
      <c r="H86" s="110">
        <v>0.4</v>
      </c>
      <c r="I86" s="111"/>
      <c r="J86" s="110">
        <f t="shared" si="48"/>
        <v>5.050000000000001</v>
      </c>
      <c r="K86" s="108">
        <f t="shared" si="49"/>
        <v>3080500</v>
      </c>
      <c r="L86" s="108"/>
      <c r="M86" s="108"/>
      <c r="N86" s="108">
        <f t="shared" si="50"/>
        <v>3080500</v>
      </c>
      <c r="O86" s="124">
        <f t="shared" si="51"/>
        <v>3280500</v>
      </c>
      <c r="P86" s="124">
        <f aca="true" t="shared" si="52" ref="P86:P91">O86</f>
        <v>3280500</v>
      </c>
      <c r="Q86" s="212"/>
    </row>
    <row r="87" spans="1:17" s="63" customFormat="1" ht="19.5" customHeight="1">
      <c r="A87" s="181">
        <v>3</v>
      </c>
      <c r="B87" s="104" t="s">
        <v>105</v>
      </c>
      <c r="C87" s="114" t="s">
        <v>78</v>
      </c>
      <c r="D87" s="106">
        <v>3</v>
      </c>
      <c r="E87" s="107" t="s">
        <v>19</v>
      </c>
      <c r="F87" s="108">
        <f t="shared" si="47"/>
        <v>300000</v>
      </c>
      <c r="G87" s="109" t="s">
        <v>20</v>
      </c>
      <c r="H87" s="110"/>
      <c r="I87" s="111"/>
      <c r="J87" s="110">
        <f t="shared" si="48"/>
        <v>3</v>
      </c>
      <c r="K87" s="108">
        <f t="shared" si="49"/>
        <v>2130000</v>
      </c>
      <c r="L87" s="108"/>
      <c r="M87" s="108"/>
      <c r="N87" s="108">
        <f t="shared" si="50"/>
        <v>1830000</v>
      </c>
      <c r="O87" s="124">
        <f t="shared" si="51"/>
        <v>1830000</v>
      </c>
      <c r="P87" s="124">
        <f t="shared" si="52"/>
        <v>1830000</v>
      </c>
      <c r="Q87" s="212"/>
    </row>
    <row r="88" spans="1:17" s="63" customFormat="1" ht="19.5" customHeight="1">
      <c r="A88" s="181">
        <v>4</v>
      </c>
      <c r="B88" s="104" t="s">
        <v>107</v>
      </c>
      <c r="C88" s="114" t="s">
        <v>52</v>
      </c>
      <c r="D88" s="106">
        <v>2.86</v>
      </c>
      <c r="E88" s="107" t="s">
        <v>25</v>
      </c>
      <c r="F88" s="108">
        <f t="shared" si="47"/>
        <v>200000</v>
      </c>
      <c r="G88" s="109" t="s">
        <v>48</v>
      </c>
      <c r="H88" s="110"/>
      <c r="I88" s="111"/>
      <c r="J88" s="110">
        <f t="shared" si="48"/>
        <v>2.86</v>
      </c>
      <c r="K88" s="108">
        <f t="shared" si="49"/>
        <v>1944600</v>
      </c>
      <c r="L88" s="108"/>
      <c r="M88" s="108"/>
      <c r="N88" s="108">
        <f t="shared" si="50"/>
        <v>1830000</v>
      </c>
      <c r="O88" s="124">
        <f t="shared" si="51"/>
        <v>1464000</v>
      </c>
      <c r="P88" s="124">
        <f t="shared" si="52"/>
        <v>1464000</v>
      </c>
      <c r="Q88" s="222" t="s">
        <v>375</v>
      </c>
    </row>
    <row r="89" spans="1:17" s="63" customFormat="1" ht="19.5" customHeight="1">
      <c r="A89" s="181">
        <v>5</v>
      </c>
      <c r="B89" s="104" t="s">
        <v>110</v>
      </c>
      <c r="C89" s="114" t="s">
        <v>52</v>
      </c>
      <c r="D89" s="106">
        <v>2.46</v>
      </c>
      <c r="E89" s="107" t="s">
        <v>25</v>
      </c>
      <c r="F89" s="108">
        <f t="shared" si="47"/>
        <v>200000</v>
      </c>
      <c r="G89" s="109" t="s">
        <v>20</v>
      </c>
      <c r="H89" s="110"/>
      <c r="I89" s="111"/>
      <c r="J89" s="110">
        <f t="shared" si="48"/>
        <v>2.46</v>
      </c>
      <c r="K89" s="108">
        <f t="shared" si="49"/>
        <v>1700600</v>
      </c>
      <c r="L89" s="108"/>
      <c r="M89" s="108"/>
      <c r="N89" s="108">
        <f t="shared" si="50"/>
        <v>1700600</v>
      </c>
      <c r="O89" s="124">
        <f t="shared" si="51"/>
        <v>1700600</v>
      </c>
      <c r="P89" s="124">
        <f>ROUND((O89/3*2+O89/3*1*80%),-2)</f>
        <v>1587200</v>
      </c>
      <c r="Q89" s="212" t="s">
        <v>385</v>
      </c>
    </row>
    <row r="90" spans="1:17" s="63" customFormat="1" ht="19.5" customHeight="1">
      <c r="A90" s="181">
        <v>6</v>
      </c>
      <c r="B90" s="104" t="s">
        <v>111</v>
      </c>
      <c r="C90" s="105" t="s">
        <v>103</v>
      </c>
      <c r="D90" s="106">
        <v>2.26</v>
      </c>
      <c r="E90" s="107" t="s">
        <v>25</v>
      </c>
      <c r="F90" s="108">
        <f t="shared" si="47"/>
        <v>200000</v>
      </c>
      <c r="G90" s="109" t="s">
        <v>20</v>
      </c>
      <c r="H90" s="110"/>
      <c r="I90" s="111"/>
      <c r="J90" s="110">
        <f t="shared" si="48"/>
        <v>2.26</v>
      </c>
      <c r="K90" s="108">
        <f t="shared" si="49"/>
        <v>1578600</v>
      </c>
      <c r="L90" s="108"/>
      <c r="M90" s="108"/>
      <c r="N90" s="108">
        <f t="shared" si="50"/>
        <v>1578600</v>
      </c>
      <c r="O90" s="124">
        <f t="shared" si="51"/>
        <v>1578600</v>
      </c>
      <c r="P90" s="124">
        <f t="shared" si="52"/>
        <v>1578600</v>
      </c>
      <c r="Q90" s="212"/>
    </row>
    <row r="91" spans="1:17" s="63" customFormat="1" ht="19.5" customHeight="1">
      <c r="A91" s="181">
        <v>7</v>
      </c>
      <c r="B91" s="129" t="s">
        <v>112</v>
      </c>
      <c r="C91" s="130" t="s">
        <v>78</v>
      </c>
      <c r="D91" s="131">
        <v>3.06</v>
      </c>
      <c r="E91" s="132" t="s">
        <v>25</v>
      </c>
      <c r="F91" s="133">
        <f>IF(E91="ĐH",300000,IF(E91="CĐ",300000,200000))</f>
        <v>200000</v>
      </c>
      <c r="G91" s="109" t="s">
        <v>20</v>
      </c>
      <c r="H91" s="135"/>
      <c r="I91" s="136"/>
      <c r="J91" s="135">
        <f t="shared" si="48"/>
        <v>3.06</v>
      </c>
      <c r="K91" s="133">
        <f t="shared" si="49"/>
        <v>1866600</v>
      </c>
      <c r="L91" s="133"/>
      <c r="M91" s="133"/>
      <c r="N91" s="133">
        <f t="shared" si="50"/>
        <v>1866600</v>
      </c>
      <c r="O91" s="124">
        <f t="shared" si="51"/>
        <v>1866600</v>
      </c>
      <c r="P91" s="124">
        <f t="shared" si="52"/>
        <v>1866600</v>
      </c>
      <c r="Q91" s="215"/>
    </row>
    <row r="92" spans="1:17" s="63" customFormat="1" ht="19.5" customHeight="1">
      <c r="A92" s="182">
        <f>COUNT(A85:A91)</f>
        <v>7</v>
      </c>
      <c r="B92" s="93" t="s">
        <v>43</v>
      </c>
      <c r="C92" s="53"/>
      <c r="D92" s="38">
        <f aca="true" t="shared" si="53" ref="D92:I92">SUM(D85:D91)</f>
        <v>22.349999999999998</v>
      </c>
      <c r="E92" s="38">
        <f t="shared" si="53"/>
        <v>0</v>
      </c>
      <c r="F92" s="94">
        <f t="shared" si="53"/>
        <v>1600000</v>
      </c>
      <c r="G92" s="67">
        <f t="shared" si="53"/>
        <v>0</v>
      </c>
      <c r="H92" s="38">
        <f t="shared" si="53"/>
        <v>0.7</v>
      </c>
      <c r="I92" s="39">
        <f t="shared" si="53"/>
        <v>0.1</v>
      </c>
      <c r="J92" s="40">
        <f t="shared" si="48"/>
        <v>25.284999999999997</v>
      </c>
      <c r="K92" s="94">
        <f aca="true" t="shared" si="54" ref="K92:P92">SUM(K85:K91)</f>
        <v>15208200</v>
      </c>
      <c r="L92" s="94">
        <f t="shared" si="54"/>
        <v>0</v>
      </c>
      <c r="M92" s="94">
        <f t="shared" si="54"/>
        <v>0</v>
      </c>
      <c r="N92" s="94">
        <f t="shared" si="54"/>
        <v>14793600</v>
      </c>
      <c r="O92" s="94">
        <f t="shared" si="54"/>
        <v>14627600</v>
      </c>
      <c r="P92" s="94">
        <f t="shared" si="54"/>
        <v>14514200</v>
      </c>
      <c r="Q92" s="216"/>
    </row>
    <row r="93" spans="1:17" s="63" customFormat="1" ht="19.5" customHeight="1">
      <c r="A93" s="182" t="s">
        <v>146</v>
      </c>
      <c r="B93" s="252" t="s">
        <v>114</v>
      </c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3"/>
    </row>
    <row r="94" spans="1:17" s="63" customFormat="1" ht="25.5" customHeight="1">
      <c r="A94" s="180">
        <v>1</v>
      </c>
      <c r="B94" s="120" t="s">
        <v>116</v>
      </c>
      <c r="C94" s="121" t="s">
        <v>117</v>
      </c>
      <c r="D94" s="122">
        <v>3.99</v>
      </c>
      <c r="E94" s="123" t="s">
        <v>19</v>
      </c>
      <c r="F94" s="124">
        <f aca="true" t="shared" si="55" ref="F94:F102">IF(E94="ĐH",300000,IF(E94="CĐ",300000,200000))</f>
        <v>300000</v>
      </c>
      <c r="G94" s="109" t="s">
        <v>367</v>
      </c>
      <c r="H94" s="126">
        <v>0.3</v>
      </c>
      <c r="I94" s="127"/>
      <c r="J94" s="126">
        <f aca="true" t="shared" si="56" ref="J94:J102">D94+H94+I94*D94</f>
        <v>4.29</v>
      </c>
      <c r="K94" s="124">
        <f aca="true" t="shared" si="57" ref="K94:K102">ROUND(IF(AND(E94="ĐH",J94&lt;=3),$K$3*J94+300000,IF(AND(E94="CĐ",J94&lt;=3),J94*$K$3+300000,IF(AND(E94="K",J94&lt;=3),J94*$K$3+200000,J94*$K$3))),-2)</f>
        <v>2616900</v>
      </c>
      <c r="L94" s="124"/>
      <c r="M94" s="124"/>
      <c r="N94" s="124">
        <f aca="true" t="shared" si="58" ref="N94:N102">ROUND(IF(AND(J94&lt;=3,K94&gt;$N$3),$N$3,K94),-2)</f>
        <v>2616900</v>
      </c>
      <c r="O94" s="124">
        <f aca="true" t="shared" si="59" ref="O94:O102">ROUND(IF(G94="A+",(N94*100%+L94-M94+200000),IF(G94="A",(N94*100%+L94-M94),IF(G94="B",(N94*80%+L94-M94),(N94*60%+L94-M94)))),-2)</f>
        <v>2816900</v>
      </c>
      <c r="P94" s="124">
        <f>O94</f>
        <v>2816900</v>
      </c>
      <c r="Q94" s="212"/>
    </row>
    <row r="95" spans="1:17" s="63" customFormat="1" ht="23.25" customHeight="1">
      <c r="A95" s="181">
        <v>2</v>
      </c>
      <c r="B95" s="104" t="s">
        <v>118</v>
      </c>
      <c r="C95" s="105" t="s">
        <v>69</v>
      </c>
      <c r="D95" s="106">
        <v>3.66</v>
      </c>
      <c r="E95" s="107" t="s">
        <v>25</v>
      </c>
      <c r="F95" s="108">
        <f t="shared" si="55"/>
        <v>200000</v>
      </c>
      <c r="G95" s="109" t="s">
        <v>20</v>
      </c>
      <c r="H95" s="110">
        <v>0.3</v>
      </c>
      <c r="I95" s="111"/>
      <c r="J95" s="110">
        <f t="shared" si="56"/>
        <v>3.96</v>
      </c>
      <c r="K95" s="108">
        <f t="shared" si="57"/>
        <v>2415600</v>
      </c>
      <c r="L95" s="108"/>
      <c r="M95" s="108"/>
      <c r="N95" s="108">
        <f t="shared" si="58"/>
        <v>2415600</v>
      </c>
      <c r="O95" s="124">
        <f t="shared" si="59"/>
        <v>2415600</v>
      </c>
      <c r="P95" s="124">
        <f>O95</f>
        <v>2415600</v>
      </c>
      <c r="Q95" s="212"/>
    </row>
    <row r="96" spans="1:17" s="63" customFormat="1" ht="19.5" customHeight="1">
      <c r="A96" s="181">
        <v>3</v>
      </c>
      <c r="B96" s="104" t="s">
        <v>119</v>
      </c>
      <c r="C96" s="105" t="s">
        <v>78</v>
      </c>
      <c r="D96" s="106">
        <v>3</v>
      </c>
      <c r="E96" s="107" t="s">
        <v>19</v>
      </c>
      <c r="F96" s="108">
        <f t="shared" si="55"/>
        <v>300000</v>
      </c>
      <c r="G96" s="109" t="s">
        <v>20</v>
      </c>
      <c r="H96" s="110"/>
      <c r="I96" s="111"/>
      <c r="J96" s="110">
        <f t="shared" si="56"/>
        <v>3</v>
      </c>
      <c r="K96" s="108">
        <f t="shared" si="57"/>
        <v>2130000</v>
      </c>
      <c r="L96" s="108"/>
      <c r="M96" s="108"/>
      <c r="N96" s="108">
        <f t="shared" si="58"/>
        <v>1830000</v>
      </c>
      <c r="O96" s="124">
        <f t="shared" si="59"/>
        <v>1830000</v>
      </c>
      <c r="P96" s="124">
        <f>O96</f>
        <v>1830000</v>
      </c>
      <c r="Q96" s="212"/>
    </row>
    <row r="97" spans="1:17" s="63" customFormat="1" ht="19.5" customHeight="1">
      <c r="A97" s="181">
        <v>4</v>
      </c>
      <c r="B97" s="104" t="s">
        <v>120</v>
      </c>
      <c r="C97" s="105" t="s">
        <v>84</v>
      </c>
      <c r="D97" s="106">
        <v>4.65</v>
      </c>
      <c r="E97" s="107" t="s">
        <v>19</v>
      </c>
      <c r="F97" s="108">
        <f t="shared" si="55"/>
        <v>300000</v>
      </c>
      <c r="G97" s="109" t="s">
        <v>367</v>
      </c>
      <c r="H97" s="110">
        <v>0.4</v>
      </c>
      <c r="I97" s="111"/>
      <c r="J97" s="110">
        <f t="shared" si="56"/>
        <v>5.050000000000001</v>
      </c>
      <c r="K97" s="108">
        <f t="shared" si="57"/>
        <v>3080500</v>
      </c>
      <c r="L97" s="108"/>
      <c r="M97" s="108"/>
      <c r="N97" s="108">
        <f t="shared" si="58"/>
        <v>3080500</v>
      </c>
      <c r="O97" s="124">
        <f t="shared" si="59"/>
        <v>3280500</v>
      </c>
      <c r="P97" s="124">
        <f>O97</f>
        <v>3280500</v>
      </c>
      <c r="Q97" s="212"/>
    </row>
    <row r="98" spans="1:17" s="63" customFormat="1" ht="24.75" customHeight="1">
      <c r="A98" s="181">
        <v>5</v>
      </c>
      <c r="B98" s="104" t="s">
        <v>121</v>
      </c>
      <c r="C98" s="105" t="s">
        <v>30</v>
      </c>
      <c r="D98" s="106">
        <v>2.86</v>
      </c>
      <c r="E98" s="107" t="s">
        <v>25</v>
      </c>
      <c r="F98" s="108">
        <f t="shared" si="55"/>
        <v>200000</v>
      </c>
      <c r="G98" s="109" t="s">
        <v>20</v>
      </c>
      <c r="H98" s="110"/>
      <c r="I98" s="111"/>
      <c r="J98" s="110">
        <f t="shared" si="56"/>
        <v>2.86</v>
      </c>
      <c r="K98" s="108">
        <f t="shared" si="57"/>
        <v>1944600</v>
      </c>
      <c r="L98" s="108"/>
      <c r="M98" s="108"/>
      <c r="N98" s="108">
        <f t="shared" si="58"/>
        <v>1830000</v>
      </c>
      <c r="O98" s="124">
        <f t="shared" si="59"/>
        <v>1830000</v>
      </c>
      <c r="P98" s="124">
        <f>ROUND((O98/3*1.5+O98/3*1.5*80%),-2)</f>
        <v>1647000</v>
      </c>
      <c r="Q98" s="212" t="s">
        <v>386</v>
      </c>
    </row>
    <row r="99" spans="1:17" s="63" customFormat="1" ht="19.5" customHeight="1">
      <c r="A99" s="181">
        <v>6</v>
      </c>
      <c r="B99" s="104" t="s">
        <v>122</v>
      </c>
      <c r="C99" s="105" t="s">
        <v>52</v>
      </c>
      <c r="D99" s="106">
        <v>2.26</v>
      </c>
      <c r="E99" s="107" t="s">
        <v>25</v>
      </c>
      <c r="F99" s="108">
        <f t="shared" si="55"/>
        <v>200000</v>
      </c>
      <c r="G99" s="109" t="s">
        <v>20</v>
      </c>
      <c r="H99" s="110"/>
      <c r="I99" s="111"/>
      <c r="J99" s="110">
        <f t="shared" si="56"/>
        <v>2.26</v>
      </c>
      <c r="K99" s="108">
        <f t="shared" si="57"/>
        <v>1578600</v>
      </c>
      <c r="L99" s="108"/>
      <c r="M99" s="108"/>
      <c r="N99" s="108">
        <f t="shared" si="58"/>
        <v>1578600</v>
      </c>
      <c r="O99" s="124">
        <f t="shared" si="59"/>
        <v>1578600</v>
      </c>
      <c r="P99" s="124">
        <f>O99</f>
        <v>1578600</v>
      </c>
      <c r="Q99" s="212"/>
    </row>
    <row r="100" spans="1:17" s="63" customFormat="1" ht="27" customHeight="1">
      <c r="A100" s="181">
        <v>7</v>
      </c>
      <c r="B100" s="104" t="s">
        <v>123</v>
      </c>
      <c r="C100" s="105" t="s">
        <v>50</v>
      </c>
      <c r="D100" s="106">
        <v>2.26</v>
      </c>
      <c r="E100" s="107" t="s">
        <v>25</v>
      </c>
      <c r="F100" s="108">
        <f t="shared" si="55"/>
        <v>200000</v>
      </c>
      <c r="G100" s="109" t="s">
        <v>20</v>
      </c>
      <c r="H100" s="110"/>
      <c r="I100" s="111"/>
      <c r="J100" s="110">
        <f t="shared" si="56"/>
        <v>2.26</v>
      </c>
      <c r="K100" s="108">
        <f t="shared" si="57"/>
        <v>1578600</v>
      </c>
      <c r="L100" s="108"/>
      <c r="M100" s="108"/>
      <c r="N100" s="108">
        <f t="shared" si="58"/>
        <v>1578600</v>
      </c>
      <c r="O100" s="124">
        <f t="shared" si="59"/>
        <v>1578600</v>
      </c>
      <c r="P100" s="124">
        <f>ROUND((O100/3*1.5+O100/3*1.5*80%),-2)</f>
        <v>1420700</v>
      </c>
      <c r="Q100" s="212" t="s">
        <v>387</v>
      </c>
    </row>
    <row r="101" spans="1:17" s="63" customFormat="1" ht="26.25" customHeight="1">
      <c r="A101" s="181">
        <v>8</v>
      </c>
      <c r="B101" s="104" t="s">
        <v>218</v>
      </c>
      <c r="C101" s="105"/>
      <c r="D101" s="106">
        <v>2.34</v>
      </c>
      <c r="E101" s="107" t="s">
        <v>19</v>
      </c>
      <c r="F101" s="108">
        <f t="shared" si="55"/>
        <v>300000</v>
      </c>
      <c r="G101" s="109"/>
      <c r="H101" s="110"/>
      <c r="I101" s="111"/>
      <c r="J101" s="110">
        <f t="shared" si="56"/>
        <v>2.34</v>
      </c>
      <c r="K101" s="108">
        <f t="shared" si="57"/>
        <v>1727400</v>
      </c>
      <c r="L101" s="108"/>
      <c r="M101" s="108"/>
      <c r="N101" s="108">
        <f t="shared" si="58"/>
        <v>1727400</v>
      </c>
      <c r="O101" s="124">
        <f t="shared" si="59"/>
        <v>1036400</v>
      </c>
      <c r="P101" s="124">
        <f>0*O101</f>
        <v>0</v>
      </c>
      <c r="Q101" s="212" t="s">
        <v>405</v>
      </c>
    </row>
    <row r="102" spans="1:17" s="63" customFormat="1" ht="25.5" customHeight="1">
      <c r="A102" s="181">
        <v>9</v>
      </c>
      <c r="B102" s="129" t="s">
        <v>124</v>
      </c>
      <c r="C102" s="130"/>
      <c r="D102" s="131">
        <v>2.46</v>
      </c>
      <c r="E102" s="132" t="s">
        <v>25</v>
      </c>
      <c r="F102" s="133">
        <f t="shared" si="55"/>
        <v>200000</v>
      </c>
      <c r="G102" s="134" t="s">
        <v>20</v>
      </c>
      <c r="H102" s="135"/>
      <c r="I102" s="136"/>
      <c r="J102" s="135">
        <f t="shared" si="56"/>
        <v>2.46</v>
      </c>
      <c r="K102" s="133">
        <f t="shared" si="57"/>
        <v>1700600</v>
      </c>
      <c r="L102" s="133"/>
      <c r="M102" s="133"/>
      <c r="N102" s="133">
        <f t="shared" si="58"/>
        <v>1700600</v>
      </c>
      <c r="O102" s="124">
        <f t="shared" si="59"/>
        <v>1700600</v>
      </c>
      <c r="P102" s="124">
        <f>ROUND(O102/3*2+O102/3*1*80%,-2)</f>
        <v>1587200</v>
      </c>
      <c r="Q102" s="215" t="s">
        <v>374</v>
      </c>
    </row>
    <row r="103" spans="1:17" s="63" customFormat="1" ht="19.5" customHeight="1">
      <c r="A103" s="182">
        <f>COUNT(A94:A102)</f>
        <v>9</v>
      </c>
      <c r="B103" s="93" t="s">
        <v>43</v>
      </c>
      <c r="C103" s="53"/>
      <c r="D103" s="38">
        <f>SUM(D94:D102)</f>
        <v>27.48</v>
      </c>
      <c r="E103" s="38"/>
      <c r="F103" s="94">
        <f>SUM(F94:F102)</f>
        <v>2200000</v>
      </c>
      <c r="G103" s="67"/>
      <c r="H103" s="38">
        <f aca="true" t="shared" si="60" ref="H103:P103">SUM(H94:H102)</f>
        <v>1</v>
      </c>
      <c r="I103" s="39">
        <f t="shared" si="60"/>
        <v>0</v>
      </c>
      <c r="J103" s="40">
        <f t="shared" si="60"/>
        <v>28.48</v>
      </c>
      <c r="K103" s="46">
        <f t="shared" si="60"/>
        <v>18772800</v>
      </c>
      <c r="L103" s="46">
        <f t="shared" si="60"/>
        <v>0</v>
      </c>
      <c r="M103" s="46">
        <f>SUM(M94:M102)</f>
        <v>0</v>
      </c>
      <c r="N103" s="46">
        <f t="shared" si="60"/>
        <v>18358200</v>
      </c>
      <c r="O103" s="46">
        <f t="shared" si="60"/>
        <v>18067200</v>
      </c>
      <c r="P103" s="46">
        <f t="shared" si="60"/>
        <v>16576500</v>
      </c>
      <c r="Q103" s="223"/>
    </row>
    <row r="104" spans="1:17" s="63" customFormat="1" ht="19.5" customHeight="1">
      <c r="A104" s="182" t="s">
        <v>155</v>
      </c>
      <c r="B104" s="252" t="s">
        <v>126</v>
      </c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3"/>
    </row>
    <row r="105" spans="1:17" s="63" customFormat="1" ht="19.5" customHeight="1">
      <c r="A105" s="180">
        <v>1</v>
      </c>
      <c r="B105" s="120" t="s">
        <v>127</v>
      </c>
      <c r="C105" s="121" t="s">
        <v>128</v>
      </c>
      <c r="D105" s="122">
        <v>4.98</v>
      </c>
      <c r="E105" s="123" t="s">
        <v>19</v>
      </c>
      <c r="F105" s="124">
        <f aca="true" t="shared" si="61" ref="F105:F118">IF(E105="ĐH",300000,IF(E105="CĐ",300000,200000))</f>
        <v>300000</v>
      </c>
      <c r="G105" s="125" t="s">
        <v>20</v>
      </c>
      <c r="H105" s="141">
        <v>0.3</v>
      </c>
      <c r="I105" s="142"/>
      <c r="J105" s="126">
        <f aca="true" t="shared" si="62" ref="J105:J118">D105+H105+I105*D105</f>
        <v>5.28</v>
      </c>
      <c r="K105" s="124">
        <f aca="true" t="shared" si="63" ref="K105:K118">ROUND(IF(AND(E105="ĐH",J105&lt;=3),$K$3*J105+300000,IF(AND(E105="CĐ",J105&lt;=3),J105*$K$3+300000,IF(AND(E105="K",J105&lt;=3),J105*$K$3+200000,J105*$K$3))),-2)</f>
        <v>3220800</v>
      </c>
      <c r="L105" s="124"/>
      <c r="M105" s="124"/>
      <c r="N105" s="124">
        <f aca="true" t="shared" si="64" ref="N105:N118">ROUND(IF(AND(J105&lt;=3,K105&gt;$N$3),$N$3,K105),-2)</f>
        <v>3220800</v>
      </c>
      <c r="O105" s="124">
        <f aca="true" t="shared" si="65" ref="O105:O118">ROUND(IF(G105="A+",(N105*100%+L105-M105+200000),IF(G105="A",(N105*100%+L105-M105),IF(G105="B",(N105*80%+L105-M105),(N105*60%+L105-M105)))),-2)</f>
        <v>3220800</v>
      </c>
      <c r="P105" s="124">
        <f>O105</f>
        <v>3220800</v>
      </c>
      <c r="Q105" s="212"/>
    </row>
    <row r="106" spans="1:17" s="63" customFormat="1" ht="19.5" customHeight="1">
      <c r="A106" s="181">
        <v>2</v>
      </c>
      <c r="B106" s="104" t="s">
        <v>129</v>
      </c>
      <c r="C106" s="105" t="s">
        <v>87</v>
      </c>
      <c r="D106" s="106">
        <v>3.66</v>
      </c>
      <c r="E106" s="107" t="s">
        <v>19</v>
      </c>
      <c r="F106" s="108">
        <f t="shared" si="61"/>
        <v>300000</v>
      </c>
      <c r="G106" s="109" t="s">
        <v>367</v>
      </c>
      <c r="H106" s="110">
        <v>0.4</v>
      </c>
      <c r="I106" s="111"/>
      <c r="J106" s="110">
        <f t="shared" si="62"/>
        <v>4.0600000000000005</v>
      </c>
      <c r="K106" s="108">
        <f t="shared" si="63"/>
        <v>2476600</v>
      </c>
      <c r="L106" s="108"/>
      <c r="M106" s="108"/>
      <c r="N106" s="108">
        <f t="shared" si="64"/>
        <v>2476600</v>
      </c>
      <c r="O106" s="124">
        <f t="shared" si="65"/>
        <v>2676600</v>
      </c>
      <c r="P106" s="124">
        <f aca="true" t="shared" si="66" ref="P106:P118">O106</f>
        <v>2676600</v>
      </c>
      <c r="Q106" s="212"/>
    </row>
    <row r="107" spans="1:17" s="63" customFormat="1" ht="23.25" customHeight="1">
      <c r="A107" s="181">
        <v>3</v>
      </c>
      <c r="B107" s="104" t="s">
        <v>224</v>
      </c>
      <c r="C107" s="105" t="s">
        <v>27</v>
      </c>
      <c r="D107" s="106">
        <v>3.33</v>
      </c>
      <c r="E107" s="107" t="s">
        <v>19</v>
      </c>
      <c r="F107" s="108">
        <f t="shared" si="61"/>
        <v>300000</v>
      </c>
      <c r="G107" s="125" t="s">
        <v>20</v>
      </c>
      <c r="H107" s="110">
        <v>0.3</v>
      </c>
      <c r="I107" s="111"/>
      <c r="J107" s="110">
        <f t="shared" si="62"/>
        <v>3.63</v>
      </c>
      <c r="K107" s="108">
        <f t="shared" si="63"/>
        <v>2214300</v>
      </c>
      <c r="L107" s="108"/>
      <c r="M107" s="108"/>
      <c r="N107" s="108">
        <f t="shared" si="64"/>
        <v>2214300</v>
      </c>
      <c r="O107" s="124">
        <f t="shared" si="65"/>
        <v>2214300</v>
      </c>
      <c r="P107" s="124">
        <f t="shared" si="66"/>
        <v>2214300</v>
      </c>
      <c r="Q107" s="212"/>
    </row>
    <row r="108" spans="1:17" s="63" customFormat="1" ht="19.5" customHeight="1">
      <c r="A108" s="181">
        <v>4</v>
      </c>
      <c r="B108" s="104" t="s">
        <v>134</v>
      </c>
      <c r="C108" s="105" t="s">
        <v>52</v>
      </c>
      <c r="D108" s="106">
        <v>2.67</v>
      </c>
      <c r="E108" s="107" t="s">
        <v>19</v>
      </c>
      <c r="F108" s="108">
        <f t="shared" si="61"/>
        <v>300000</v>
      </c>
      <c r="G108" s="125" t="s">
        <v>20</v>
      </c>
      <c r="H108" s="110"/>
      <c r="I108" s="111"/>
      <c r="J108" s="110">
        <f t="shared" si="62"/>
        <v>2.67</v>
      </c>
      <c r="K108" s="108">
        <f t="shared" si="63"/>
        <v>1928700</v>
      </c>
      <c r="L108" s="108"/>
      <c r="M108" s="108"/>
      <c r="N108" s="108">
        <f t="shared" si="64"/>
        <v>1830000</v>
      </c>
      <c r="O108" s="124">
        <f t="shared" si="65"/>
        <v>1830000</v>
      </c>
      <c r="P108" s="124">
        <f t="shared" si="66"/>
        <v>1830000</v>
      </c>
      <c r="Q108" s="212"/>
    </row>
    <row r="109" spans="1:17" s="63" customFormat="1" ht="20.25" customHeight="1">
      <c r="A109" s="181">
        <v>5</v>
      </c>
      <c r="B109" s="104" t="s">
        <v>140</v>
      </c>
      <c r="C109" s="105" t="s">
        <v>52</v>
      </c>
      <c r="D109" s="106">
        <v>2.46</v>
      </c>
      <c r="E109" s="107" t="s">
        <v>25</v>
      </c>
      <c r="F109" s="108">
        <f t="shared" si="61"/>
        <v>200000</v>
      </c>
      <c r="G109" s="109" t="s">
        <v>20</v>
      </c>
      <c r="H109" s="110"/>
      <c r="I109" s="111"/>
      <c r="J109" s="110">
        <f t="shared" si="62"/>
        <v>2.46</v>
      </c>
      <c r="K109" s="108">
        <f t="shared" si="63"/>
        <v>1700600</v>
      </c>
      <c r="L109" s="108"/>
      <c r="M109" s="108"/>
      <c r="N109" s="108">
        <f t="shared" si="64"/>
        <v>1700600</v>
      </c>
      <c r="O109" s="124">
        <f t="shared" si="65"/>
        <v>1700600</v>
      </c>
      <c r="P109" s="124">
        <f>ROUND((O109/3*1.5+O109/3*1.5*80%),-2)</f>
        <v>1530500</v>
      </c>
      <c r="Q109" s="212" t="s">
        <v>388</v>
      </c>
    </row>
    <row r="110" spans="1:17" s="63" customFormat="1" ht="25.5" customHeight="1">
      <c r="A110" s="181">
        <v>6</v>
      </c>
      <c r="B110" s="104" t="s">
        <v>142</v>
      </c>
      <c r="C110" s="105" t="s">
        <v>52</v>
      </c>
      <c r="D110" s="106">
        <v>2.66</v>
      </c>
      <c r="E110" s="107" t="s">
        <v>28</v>
      </c>
      <c r="F110" s="108">
        <f t="shared" si="61"/>
        <v>300000</v>
      </c>
      <c r="G110" s="109" t="s">
        <v>20</v>
      </c>
      <c r="H110" s="115"/>
      <c r="I110" s="116"/>
      <c r="J110" s="110">
        <f t="shared" si="62"/>
        <v>2.66</v>
      </c>
      <c r="K110" s="108">
        <f t="shared" si="63"/>
        <v>1922600</v>
      </c>
      <c r="L110" s="108"/>
      <c r="M110" s="108"/>
      <c r="N110" s="108">
        <f t="shared" si="64"/>
        <v>1830000</v>
      </c>
      <c r="O110" s="124">
        <f t="shared" si="65"/>
        <v>1830000</v>
      </c>
      <c r="P110" s="124">
        <f t="shared" si="66"/>
        <v>1830000</v>
      </c>
      <c r="Q110" s="212"/>
    </row>
    <row r="111" spans="1:17" s="63" customFormat="1" ht="19.5" customHeight="1">
      <c r="A111" s="181">
        <v>7</v>
      </c>
      <c r="B111" s="104" t="s">
        <v>143</v>
      </c>
      <c r="C111" s="105"/>
      <c r="D111" s="106">
        <v>2.26</v>
      </c>
      <c r="E111" s="107" t="s">
        <v>25</v>
      </c>
      <c r="F111" s="108">
        <f t="shared" si="61"/>
        <v>200000</v>
      </c>
      <c r="G111" s="109" t="s">
        <v>367</v>
      </c>
      <c r="H111" s="115"/>
      <c r="I111" s="116"/>
      <c r="J111" s="110">
        <f t="shared" si="62"/>
        <v>2.26</v>
      </c>
      <c r="K111" s="108">
        <f t="shared" si="63"/>
        <v>1578600</v>
      </c>
      <c r="L111" s="108"/>
      <c r="M111" s="108"/>
      <c r="N111" s="108">
        <f t="shared" si="64"/>
        <v>1578600</v>
      </c>
      <c r="O111" s="124">
        <f t="shared" si="65"/>
        <v>1778600</v>
      </c>
      <c r="P111" s="124">
        <f t="shared" si="66"/>
        <v>1778600</v>
      </c>
      <c r="Q111" s="212"/>
    </row>
    <row r="112" spans="1:17" s="63" customFormat="1" ht="22.5" customHeight="1">
      <c r="A112" s="181">
        <v>8</v>
      </c>
      <c r="B112" s="104" t="s">
        <v>144</v>
      </c>
      <c r="C112" s="104"/>
      <c r="D112" s="106">
        <v>2.61</v>
      </c>
      <c r="E112" s="107" t="s">
        <v>28</v>
      </c>
      <c r="F112" s="108">
        <f t="shared" si="61"/>
        <v>300000</v>
      </c>
      <c r="G112" s="109" t="s">
        <v>20</v>
      </c>
      <c r="H112" s="115"/>
      <c r="I112" s="116"/>
      <c r="J112" s="110">
        <f t="shared" si="62"/>
        <v>2.61</v>
      </c>
      <c r="K112" s="108">
        <f t="shared" si="63"/>
        <v>1892100</v>
      </c>
      <c r="L112" s="108"/>
      <c r="M112" s="108"/>
      <c r="N112" s="108">
        <f t="shared" si="64"/>
        <v>1830000</v>
      </c>
      <c r="O112" s="124">
        <f t="shared" si="65"/>
        <v>1830000</v>
      </c>
      <c r="P112" s="124">
        <f t="shared" si="66"/>
        <v>1830000</v>
      </c>
      <c r="Q112" s="212"/>
    </row>
    <row r="113" spans="1:17" s="63" customFormat="1" ht="23.25" customHeight="1">
      <c r="A113" s="181">
        <v>9</v>
      </c>
      <c r="B113" s="104" t="s">
        <v>110</v>
      </c>
      <c r="C113" s="104"/>
      <c r="D113" s="106">
        <v>2.26</v>
      </c>
      <c r="E113" s="107" t="s">
        <v>28</v>
      </c>
      <c r="F113" s="108">
        <f t="shared" si="61"/>
        <v>300000</v>
      </c>
      <c r="G113" s="109" t="s">
        <v>20</v>
      </c>
      <c r="H113" s="115"/>
      <c r="I113" s="116"/>
      <c r="J113" s="110">
        <f t="shared" si="62"/>
        <v>2.26</v>
      </c>
      <c r="K113" s="108">
        <f t="shared" si="63"/>
        <v>1678600</v>
      </c>
      <c r="L113" s="108"/>
      <c r="M113" s="108"/>
      <c r="N113" s="108">
        <f t="shared" si="64"/>
        <v>1678600</v>
      </c>
      <c r="O113" s="124">
        <f t="shared" si="65"/>
        <v>1678600</v>
      </c>
      <c r="P113" s="124">
        <f t="shared" si="66"/>
        <v>1678600</v>
      </c>
      <c r="Q113" s="212"/>
    </row>
    <row r="114" spans="1:17" s="63" customFormat="1" ht="19.5" customHeight="1">
      <c r="A114" s="181">
        <v>10</v>
      </c>
      <c r="B114" s="104" t="s">
        <v>212</v>
      </c>
      <c r="C114" s="104"/>
      <c r="D114" s="106">
        <v>2.06</v>
      </c>
      <c r="E114" s="107" t="s">
        <v>25</v>
      </c>
      <c r="F114" s="108">
        <f t="shared" si="61"/>
        <v>200000</v>
      </c>
      <c r="G114" s="109" t="s">
        <v>20</v>
      </c>
      <c r="H114" s="115"/>
      <c r="I114" s="116"/>
      <c r="J114" s="110">
        <f t="shared" si="62"/>
        <v>2.06</v>
      </c>
      <c r="K114" s="108">
        <f t="shared" si="63"/>
        <v>1456600</v>
      </c>
      <c r="L114" s="108"/>
      <c r="M114" s="108"/>
      <c r="N114" s="108">
        <f t="shared" si="64"/>
        <v>1456600</v>
      </c>
      <c r="O114" s="124">
        <f t="shared" si="65"/>
        <v>1456600</v>
      </c>
      <c r="P114" s="124">
        <f t="shared" si="66"/>
        <v>1456600</v>
      </c>
      <c r="Q114" s="215"/>
    </row>
    <row r="115" spans="1:17" s="63" customFormat="1" ht="19.5" customHeight="1">
      <c r="A115" s="181">
        <v>11</v>
      </c>
      <c r="B115" s="104" t="s">
        <v>213</v>
      </c>
      <c r="C115" s="104"/>
      <c r="D115" s="106">
        <v>2.06</v>
      </c>
      <c r="E115" s="107" t="s">
        <v>25</v>
      </c>
      <c r="F115" s="108">
        <f t="shared" si="61"/>
        <v>200000</v>
      </c>
      <c r="G115" s="109" t="s">
        <v>20</v>
      </c>
      <c r="H115" s="115"/>
      <c r="I115" s="116"/>
      <c r="J115" s="110">
        <f t="shared" si="62"/>
        <v>2.06</v>
      </c>
      <c r="K115" s="108">
        <f t="shared" si="63"/>
        <v>1456600</v>
      </c>
      <c r="L115" s="108"/>
      <c r="M115" s="108"/>
      <c r="N115" s="108">
        <f t="shared" si="64"/>
        <v>1456600</v>
      </c>
      <c r="O115" s="124">
        <f t="shared" si="65"/>
        <v>1456600</v>
      </c>
      <c r="P115" s="124">
        <f t="shared" si="66"/>
        <v>1456600</v>
      </c>
      <c r="Q115" s="221"/>
    </row>
    <row r="116" spans="1:17" s="63" customFormat="1" ht="19.5" customHeight="1">
      <c r="A116" s="181">
        <v>12</v>
      </c>
      <c r="B116" s="129" t="s">
        <v>225</v>
      </c>
      <c r="C116" s="129"/>
      <c r="D116" s="131">
        <v>2.3</v>
      </c>
      <c r="E116" s="132" t="s">
        <v>28</v>
      </c>
      <c r="F116" s="133">
        <f t="shared" si="61"/>
        <v>300000</v>
      </c>
      <c r="G116" s="109" t="s">
        <v>20</v>
      </c>
      <c r="H116" s="143"/>
      <c r="I116" s="144"/>
      <c r="J116" s="135">
        <f t="shared" si="62"/>
        <v>2.3</v>
      </c>
      <c r="K116" s="133">
        <f t="shared" si="63"/>
        <v>1703000</v>
      </c>
      <c r="L116" s="133"/>
      <c r="M116" s="133"/>
      <c r="N116" s="133">
        <f t="shared" si="64"/>
        <v>1703000</v>
      </c>
      <c r="O116" s="124">
        <f t="shared" si="65"/>
        <v>1703000</v>
      </c>
      <c r="P116" s="124">
        <f>ROUND(O116/3*2,-2)</f>
        <v>1135300</v>
      </c>
      <c r="Q116" s="215" t="s">
        <v>418</v>
      </c>
    </row>
    <row r="117" spans="1:17" s="63" customFormat="1" ht="19.5" customHeight="1">
      <c r="A117" s="181">
        <v>13</v>
      </c>
      <c r="B117" s="129" t="s">
        <v>389</v>
      </c>
      <c r="C117" s="129"/>
      <c r="D117" s="131">
        <v>1.751</v>
      </c>
      <c r="E117" s="132" t="s">
        <v>28</v>
      </c>
      <c r="F117" s="133">
        <f t="shared" si="61"/>
        <v>300000</v>
      </c>
      <c r="G117" s="109" t="s">
        <v>20</v>
      </c>
      <c r="H117" s="143"/>
      <c r="I117" s="144"/>
      <c r="J117" s="135">
        <f t="shared" si="62"/>
        <v>1.751</v>
      </c>
      <c r="K117" s="133">
        <f t="shared" si="63"/>
        <v>1368100</v>
      </c>
      <c r="L117" s="133"/>
      <c r="M117" s="133"/>
      <c r="N117" s="133">
        <f t="shared" si="64"/>
        <v>1368100</v>
      </c>
      <c r="O117" s="124">
        <f t="shared" si="65"/>
        <v>1368100</v>
      </c>
      <c r="P117" s="124">
        <f>ROUND(O117/3*2.5,-2)</f>
        <v>1140100</v>
      </c>
      <c r="Q117" s="221" t="s">
        <v>390</v>
      </c>
    </row>
    <row r="118" spans="1:17" s="63" customFormat="1" ht="19.5" customHeight="1">
      <c r="A118" s="181">
        <v>14</v>
      </c>
      <c r="B118" s="129" t="s">
        <v>208</v>
      </c>
      <c r="C118" s="129"/>
      <c r="D118" s="131">
        <v>2.06</v>
      </c>
      <c r="E118" s="132" t="s">
        <v>25</v>
      </c>
      <c r="F118" s="133">
        <f t="shared" si="61"/>
        <v>200000</v>
      </c>
      <c r="G118" s="109" t="s">
        <v>367</v>
      </c>
      <c r="H118" s="143"/>
      <c r="I118" s="144"/>
      <c r="J118" s="135">
        <f t="shared" si="62"/>
        <v>2.06</v>
      </c>
      <c r="K118" s="133">
        <f t="shared" si="63"/>
        <v>1456600</v>
      </c>
      <c r="L118" s="133"/>
      <c r="M118" s="133"/>
      <c r="N118" s="133">
        <f t="shared" si="64"/>
        <v>1456600</v>
      </c>
      <c r="O118" s="124">
        <f t="shared" si="65"/>
        <v>1656600</v>
      </c>
      <c r="P118" s="124">
        <f t="shared" si="66"/>
        <v>1656600</v>
      </c>
      <c r="Q118" s="215"/>
    </row>
    <row r="119" spans="1:17" s="63" customFormat="1" ht="19.5" customHeight="1">
      <c r="A119" s="182">
        <f>COUNT(A105:A118)</f>
        <v>14</v>
      </c>
      <c r="B119" s="93" t="s">
        <v>43</v>
      </c>
      <c r="C119" s="53"/>
      <c r="D119" s="38">
        <f aca="true" t="shared" si="67" ref="D119:P119">SUM(D105:D118)</f>
        <v>37.120999999999995</v>
      </c>
      <c r="E119" s="38">
        <f t="shared" si="67"/>
        <v>0</v>
      </c>
      <c r="F119" s="94">
        <f t="shared" si="67"/>
        <v>3700000</v>
      </c>
      <c r="G119" s="67">
        <f t="shared" si="67"/>
        <v>0</v>
      </c>
      <c r="H119" s="38">
        <f t="shared" si="67"/>
        <v>1</v>
      </c>
      <c r="I119" s="62">
        <f t="shared" si="67"/>
        <v>0</v>
      </c>
      <c r="J119" s="38">
        <f t="shared" si="67"/>
        <v>38.12099999999999</v>
      </c>
      <c r="K119" s="94">
        <f t="shared" si="67"/>
        <v>26053800</v>
      </c>
      <c r="L119" s="94">
        <f t="shared" si="67"/>
        <v>0</v>
      </c>
      <c r="M119" s="94">
        <f t="shared" si="67"/>
        <v>0</v>
      </c>
      <c r="N119" s="94">
        <f t="shared" si="67"/>
        <v>25800400</v>
      </c>
      <c r="O119" s="94">
        <f t="shared" si="67"/>
        <v>26400400</v>
      </c>
      <c r="P119" s="94">
        <f t="shared" si="67"/>
        <v>25434600</v>
      </c>
      <c r="Q119" s="216"/>
    </row>
    <row r="120" spans="1:17" s="63" customFormat="1" ht="19.5" customHeight="1">
      <c r="A120" s="182" t="s">
        <v>164</v>
      </c>
      <c r="B120" s="252" t="s">
        <v>147</v>
      </c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3"/>
    </row>
    <row r="121" spans="1:17" s="63" customFormat="1" ht="19.5" customHeight="1">
      <c r="A121" s="180">
        <v>1</v>
      </c>
      <c r="B121" s="120" t="s">
        <v>148</v>
      </c>
      <c r="C121" s="121" t="s">
        <v>117</v>
      </c>
      <c r="D121" s="122">
        <v>3.66</v>
      </c>
      <c r="E121" s="123" t="s">
        <v>19</v>
      </c>
      <c r="F121" s="124">
        <f aca="true" t="shared" si="68" ref="F121:F129">IF(E121="ĐH",300000,IF(E121="CĐ",300000,200000))</f>
        <v>300000</v>
      </c>
      <c r="G121" s="125" t="s">
        <v>367</v>
      </c>
      <c r="H121" s="126">
        <v>0.4</v>
      </c>
      <c r="I121" s="127"/>
      <c r="J121" s="126">
        <f aca="true" t="shared" si="69" ref="J121:J129">D121+H121+I121*D121</f>
        <v>4.0600000000000005</v>
      </c>
      <c r="K121" s="124">
        <f aca="true" t="shared" si="70" ref="K121:K129">ROUND(IF(AND(E121="ĐH",J121&lt;=3),$K$3*J121+300000,IF(AND(E121="CĐ",J121&lt;=3),J121*$K$3+300000,IF(AND(E121="K",J121&lt;=3),J121*$K$3+200000,J121*$K$3))),-2)</f>
        <v>2476600</v>
      </c>
      <c r="L121" s="124"/>
      <c r="M121" s="124"/>
      <c r="N121" s="124">
        <f aca="true" t="shared" si="71" ref="N121:N129">ROUND(IF(AND(J121&lt;=3,K121&gt;$N$3),$N$3,K121),-2)</f>
        <v>2476600</v>
      </c>
      <c r="O121" s="124">
        <f aca="true" t="shared" si="72" ref="O121:O129">ROUND(IF(G121="A+",(N121*100%+L121-M121+200000),IF(G121="A",(N121*100%+L121-M121),IF(G121="B",(N121*80%+L121-M121),(N121*60%+L121-M121)))),-2)</f>
        <v>2676600</v>
      </c>
      <c r="P121" s="124">
        <f>O121</f>
        <v>2676600</v>
      </c>
      <c r="Q121" s="212"/>
    </row>
    <row r="122" spans="1:17" s="63" customFormat="1" ht="27.75" customHeight="1">
      <c r="A122" s="181">
        <v>2</v>
      </c>
      <c r="B122" s="104" t="s">
        <v>149</v>
      </c>
      <c r="C122" s="105" t="s">
        <v>128</v>
      </c>
      <c r="D122" s="106">
        <v>4.98</v>
      </c>
      <c r="E122" s="107" t="s">
        <v>19</v>
      </c>
      <c r="F122" s="108">
        <f t="shared" si="68"/>
        <v>300000</v>
      </c>
      <c r="G122" s="109" t="s">
        <v>20</v>
      </c>
      <c r="H122" s="115"/>
      <c r="I122" s="117">
        <v>0.06</v>
      </c>
      <c r="J122" s="110">
        <f t="shared" si="69"/>
        <v>5.2788</v>
      </c>
      <c r="K122" s="108">
        <f t="shared" si="70"/>
        <v>3220100</v>
      </c>
      <c r="L122" s="108"/>
      <c r="M122" s="108"/>
      <c r="N122" s="108">
        <f t="shared" si="71"/>
        <v>3220100</v>
      </c>
      <c r="O122" s="124">
        <f t="shared" si="72"/>
        <v>3220100</v>
      </c>
      <c r="P122" s="124">
        <f aca="true" t="shared" si="73" ref="P122:P129">O122</f>
        <v>3220100</v>
      </c>
      <c r="Q122" s="212"/>
    </row>
    <row r="123" spans="1:17" s="63" customFormat="1" ht="24.75" customHeight="1">
      <c r="A123" s="181">
        <v>3</v>
      </c>
      <c r="B123" s="104" t="s">
        <v>150</v>
      </c>
      <c r="C123" s="105" t="s">
        <v>27</v>
      </c>
      <c r="D123" s="106">
        <v>4.06</v>
      </c>
      <c r="E123" s="107" t="s">
        <v>25</v>
      </c>
      <c r="F123" s="108">
        <f t="shared" si="68"/>
        <v>200000</v>
      </c>
      <c r="G123" s="109" t="s">
        <v>367</v>
      </c>
      <c r="H123" s="110">
        <v>0.3</v>
      </c>
      <c r="I123" s="111">
        <v>0.08</v>
      </c>
      <c r="J123" s="110">
        <f t="shared" si="69"/>
        <v>4.684799999999999</v>
      </c>
      <c r="K123" s="108">
        <f t="shared" si="70"/>
        <v>2857700</v>
      </c>
      <c r="L123" s="108"/>
      <c r="M123" s="108"/>
      <c r="N123" s="108">
        <f t="shared" si="71"/>
        <v>2857700</v>
      </c>
      <c r="O123" s="124">
        <f t="shared" si="72"/>
        <v>3057700</v>
      </c>
      <c r="P123" s="124">
        <f t="shared" si="73"/>
        <v>3057700</v>
      </c>
      <c r="Q123" s="212"/>
    </row>
    <row r="124" spans="1:17" s="63" customFormat="1" ht="26.25" customHeight="1">
      <c r="A124" s="181">
        <v>4</v>
      </c>
      <c r="B124" s="104" t="s">
        <v>152</v>
      </c>
      <c r="C124" s="114" t="s">
        <v>78</v>
      </c>
      <c r="D124" s="106">
        <v>3.06</v>
      </c>
      <c r="E124" s="107" t="s">
        <v>25</v>
      </c>
      <c r="F124" s="108">
        <f t="shared" si="68"/>
        <v>200000</v>
      </c>
      <c r="G124" s="109" t="s">
        <v>20</v>
      </c>
      <c r="H124" s="110"/>
      <c r="I124" s="111"/>
      <c r="J124" s="110">
        <f t="shared" si="69"/>
        <v>3.06</v>
      </c>
      <c r="K124" s="108">
        <f t="shared" si="70"/>
        <v>1866600</v>
      </c>
      <c r="L124" s="108"/>
      <c r="M124" s="108"/>
      <c r="N124" s="108">
        <f t="shared" si="71"/>
        <v>1866600</v>
      </c>
      <c r="O124" s="124">
        <f t="shared" si="72"/>
        <v>1866600</v>
      </c>
      <c r="P124" s="124">
        <f>ROUND((O124/3*1.5+O124/3*1.5*80%),-2)</f>
        <v>1679900</v>
      </c>
      <c r="Q124" s="212" t="s">
        <v>391</v>
      </c>
    </row>
    <row r="125" spans="1:17" s="63" customFormat="1" ht="19.5" customHeight="1">
      <c r="A125" s="181">
        <v>5</v>
      </c>
      <c r="B125" s="104" t="s">
        <v>153</v>
      </c>
      <c r="C125" s="114" t="s">
        <v>52</v>
      </c>
      <c r="D125" s="106">
        <v>2.46</v>
      </c>
      <c r="E125" s="107" t="s">
        <v>25</v>
      </c>
      <c r="F125" s="108">
        <f t="shared" si="68"/>
        <v>200000</v>
      </c>
      <c r="G125" s="109" t="s">
        <v>20</v>
      </c>
      <c r="H125" s="110"/>
      <c r="I125" s="111"/>
      <c r="J125" s="110">
        <f t="shared" si="69"/>
        <v>2.46</v>
      </c>
      <c r="K125" s="108">
        <f t="shared" si="70"/>
        <v>1700600</v>
      </c>
      <c r="L125" s="108"/>
      <c r="M125" s="108"/>
      <c r="N125" s="108">
        <f t="shared" si="71"/>
        <v>1700600</v>
      </c>
      <c r="O125" s="124">
        <f t="shared" si="72"/>
        <v>1700600</v>
      </c>
      <c r="P125" s="124">
        <f t="shared" si="73"/>
        <v>1700600</v>
      </c>
      <c r="Q125" s="212"/>
    </row>
    <row r="126" spans="1:17" s="63" customFormat="1" ht="19.5" customHeight="1">
      <c r="A126" s="181">
        <v>6</v>
      </c>
      <c r="B126" s="104" t="s">
        <v>115</v>
      </c>
      <c r="C126" s="105"/>
      <c r="D126" s="106">
        <v>2.26</v>
      </c>
      <c r="E126" s="107" t="s">
        <v>25</v>
      </c>
      <c r="F126" s="108">
        <f>IF(E126="ĐH",300000,IF(E126="CĐ",300000,200000))</f>
        <v>200000</v>
      </c>
      <c r="G126" s="109" t="s">
        <v>20</v>
      </c>
      <c r="H126" s="115"/>
      <c r="I126" s="116"/>
      <c r="J126" s="110">
        <f t="shared" si="69"/>
        <v>2.26</v>
      </c>
      <c r="K126" s="108">
        <f t="shared" si="70"/>
        <v>1578600</v>
      </c>
      <c r="L126" s="108"/>
      <c r="M126" s="108"/>
      <c r="N126" s="108">
        <f t="shared" si="71"/>
        <v>1578600</v>
      </c>
      <c r="O126" s="124">
        <f t="shared" si="72"/>
        <v>1578600</v>
      </c>
      <c r="P126" s="124">
        <f>ROUND((O126/3*2+O126/3*1*80%),-2)</f>
        <v>1473400</v>
      </c>
      <c r="Q126" s="212" t="s">
        <v>392</v>
      </c>
    </row>
    <row r="127" spans="1:17" s="63" customFormat="1" ht="28.5" customHeight="1">
      <c r="A127" s="181">
        <v>7</v>
      </c>
      <c r="B127" s="104" t="s">
        <v>220</v>
      </c>
      <c r="C127" s="105"/>
      <c r="D127" s="106">
        <v>1.86</v>
      </c>
      <c r="E127" s="107" t="s">
        <v>25</v>
      </c>
      <c r="F127" s="108">
        <f>IF(E127="ĐH",300000,IF(E127="CĐ",300000,200000))</f>
        <v>200000</v>
      </c>
      <c r="G127" s="109" t="s">
        <v>20</v>
      </c>
      <c r="H127" s="115"/>
      <c r="I127" s="116"/>
      <c r="J127" s="110">
        <f t="shared" si="69"/>
        <v>1.86</v>
      </c>
      <c r="K127" s="108">
        <f t="shared" si="70"/>
        <v>1334600</v>
      </c>
      <c r="L127" s="108"/>
      <c r="M127" s="108"/>
      <c r="N127" s="108">
        <f t="shared" si="71"/>
        <v>1334600</v>
      </c>
      <c r="O127" s="124">
        <f t="shared" si="72"/>
        <v>1334600</v>
      </c>
      <c r="P127" s="124">
        <f t="shared" si="73"/>
        <v>1334600</v>
      </c>
      <c r="Q127" s="212"/>
    </row>
    <row r="128" spans="1:17" s="63" customFormat="1" ht="27" customHeight="1">
      <c r="A128" s="181">
        <v>8</v>
      </c>
      <c r="B128" s="104" t="s">
        <v>139</v>
      </c>
      <c r="C128" s="105"/>
      <c r="D128" s="106">
        <v>2.46</v>
      </c>
      <c r="E128" s="107" t="s">
        <v>25</v>
      </c>
      <c r="F128" s="108">
        <f>IF(E128="ĐH",300000,IF(E128="CĐ",300000,200000))</f>
        <v>200000</v>
      </c>
      <c r="G128" s="125" t="s">
        <v>20</v>
      </c>
      <c r="H128" s="110"/>
      <c r="I128" s="111"/>
      <c r="J128" s="110">
        <f t="shared" si="69"/>
        <v>2.46</v>
      </c>
      <c r="K128" s="108">
        <f t="shared" si="70"/>
        <v>1700600</v>
      </c>
      <c r="L128" s="108"/>
      <c r="M128" s="108"/>
      <c r="N128" s="108">
        <f t="shared" si="71"/>
        <v>1700600</v>
      </c>
      <c r="O128" s="124">
        <f t="shared" si="72"/>
        <v>1700600</v>
      </c>
      <c r="P128" s="124">
        <f t="shared" si="73"/>
        <v>1700600</v>
      </c>
      <c r="Q128" s="212"/>
    </row>
    <row r="129" spans="1:17" s="63" customFormat="1" ht="19.5" customHeight="1">
      <c r="A129" s="181">
        <v>9</v>
      </c>
      <c r="B129" s="129" t="s">
        <v>154</v>
      </c>
      <c r="C129" s="137" t="s">
        <v>52</v>
      </c>
      <c r="D129" s="131">
        <v>2.55</v>
      </c>
      <c r="E129" s="140" t="s">
        <v>25</v>
      </c>
      <c r="F129" s="133">
        <f t="shared" si="68"/>
        <v>200000</v>
      </c>
      <c r="G129" s="134" t="s">
        <v>20</v>
      </c>
      <c r="H129" s="135"/>
      <c r="I129" s="136"/>
      <c r="J129" s="135">
        <f t="shared" si="69"/>
        <v>2.55</v>
      </c>
      <c r="K129" s="133">
        <f t="shared" si="70"/>
        <v>1755500</v>
      </c>
      <c r="L129" s="133"/>
      <c r="M129" s="133"/>
      <c r="N129" s="133">
        <f t="shared" si="71"/>
        <v>1755500</v>
      </c>
      <c r="O129" s="124">
        <f t="shared" si="72"/>
        <v>1755500</v>
      </c>
      <c r="P129" s="124">
        <f t="shared" si="73"/>
        <v>1755500</v>
      </c>
      <c r="Q129" s="215"/>
    </row>
    <row r="130" spans="1:17" s="63" customFormat="1" ht="19.5" customHeight="1">
      <c r="A130" s="182">
        <f>COUNT(A121:A129)</f>
        <v>9</v>
      </c>
      <c r="B130" s="93" t="s">
        <v>43</v>
      </c>
      <c r="C130" s="53"/>
      <c r="D130" s="38">
        <f>SUM(D121:D129)</f>
        <v>27.349999999999998</v>
      </c>
      <c r="E130" s="38"/>
      <c r="F130" s="94">
        <f>SUM(F121:F129)</f>
        <v>2000000</v>
      </c>
      <c r="G130" s="67"/>
      <c r="H130" s="38">
        <f aca="true" t="shared" si="74" ref="H130:P130">SUM(H121:H129)</f>
        <v>0.7</v>
      </c>
      <c r="I130" s="39">
        <f t="shared" si="74"/>
        <v>0.14</v>
      </c>
      <c r="J130" s="40">
        <f t="shared" si="74"/>
        <v>28.673600000000004</v>
      </c>
      <c r="K130" s="46">
        <f t="shared" si="74"/>
        <v>18490900</v>
      </c>
      <c r="L130" s="46">
        <f t="shared" si="74"/>
        <v>0</v>
      </c>
      <c r="M130" s="46">
        <f>SUM(M121:M129)</f>
        <v>0</v>
      </c>
      <c r="N130" s="46">
        <f t="shared" si="74"/>
        <v>18490900</v>
      </c>
      <c r="O130" s="46">
        <f t="shared" si="74"/>
        <v>18890900</v>
      </c>
      <c r="P130" s="46">
        <f t="shared" si="74"/>
        <v>18599000</v>
      </c>
      <c r="Q130" s="223"/>
    </row>
    <row r="131" spans="1:17" s="63" customFormat="1" ht="19.5" customHeight="1">
      <c r="A131" s="182" t="s">
        <v>173</v>
      </c>
      <c r="B131" s="252" t="s">
        <v>156</v>
      </c>
      <c r="C131" s="252"/>
      <c r="D131" s="252"/>
      <c r="E131" s="252"/>
      <c r="F131" s="252"/>
      <c r="G131" s="252"/>
      <c r="H131" s="252"/>
      <c r="I131" s="252"/>
      <c r="J131" s="252"/>
      <c r="K131" s="252"/>
      <c r="L131" s="252"/>
      <c r="M131" s="252"/>
      <c r="N131" s="252"/>
      <c r="O131" s="252"/>
      <c r="P131" s="252"/>
      <c r="Q131" s="253"/>
    </row>
    <row r="132" spans="1:17" s="63" customFormat="1" ht="26.25" customHeight="1">
      <c r="A132" s="180">
        <v>1</v>
      </c>
      <c r="B132" s="120" t="s">
        <v>130</v>
      </c>
      <c r="C132" s="121" t="s">
        <v>87</v>
      </c>
      <c r="D132" s="122">
        <v>3.66</v>
      </c>
      <c r="E132" s="123" t="s">
        <v>19</v>
      </c>
      <c r="F132" s="124">
        <f aca="true" t="shared" si="75" ref="F132:F140">IF(E132="ĐH",300000,IF(E132="CĐ",300000,200000))</f>
        <v>300000</v>
      </c>
      <c r="G132" s="109" t="s">
        <v>48</v>
      </c>
      <c r="H132" s="126">
        <v>0.4</v>
      </c>
      <c r="I132" s="127"/>
      <c r="J132" s="126">
        <f aca="true" t="shared" si="76" ref="J132:J140">D132+H132+I132*D132</f>
        <v>4.0600000000000005</v>
      </c>
      <c r="K132" s="124">
        <f aca="true" t="shared" si="77" ref="K132:K140">ROUND(IF(AND(E132="ĐH",J132&lt;=3),$K$3*J132+300000,IF(AND(E132="CĐ",J132&lt;=3),J132*$K$3+300000,IF(AND(E132="K",J132&lt;=3),J132*$K$3+200000,J132*$K$3))),-2)</f>
        <v>2476600</v>
      </c>
      <c r="L132" s="124"/>
      <c r="M132" s="124"/>
      <c r="N132" s="124">
        <f aca="true" t="shared" si="78" ref="N132:N140">ROUND(IF(AND(J132&lt;=3,K132&gt;$N$3),$N$3,K132),-2)</f>
        <v>2476600</v>
      </c>
      <c r="O132" s="124">
        <f aca="true" t="shared" si="79" ref="O132:O140">ROUND(IF(G132="A+",(N132*100%+L132-M132+200000),IF(G132="A",(N132*100%+L132-M132),IF(G132="B",(N132*80%+L132-M132),(N132*60%+L132-M132)))),-2)</f>
        <v>1981300</v>
      </c>
      <c r="P132" s="124">
        <f>ROUND((O132/3*2.5+N132/3*0.5),-2)</f>
        <v>2063900</v>
      </c>
      <c r="Q132" s="212" t="s">
        <v>393</v>
      </c>
    </row>
    <row r="133" spans="1:17" s="63" customFormat="1" ht="24" customHeight="1">
      <c r="A133" s="181">
        <v>2</v>
      </c>
      <c r="B133" s="104" t="s">
        <v>158</v>
      </c>
      <c r="C133" s="105" t="s">
        <v>75</v>
      </c>
      <c r="D133" s="106">
        <v>3.06</v>
      </c>
      <c r="E133" s="107" t="s">
        <v>25</v>
      </c>
      <c r="F133" s="108">
        <f t="shared" si="75"/>
        <v>200000</v>
      </c>
      <c r="G133" s="109" t="s">
        <v>20</v>
      </c>
      <c r="H133" s="110"/>
      <c r="I133" s="111"/>
      <c r="J133" s="110">
        <f t="shared" si="76"/>
        <v>3.06</v>
      </c>
      <c r="K133" s="108">
        <f t="shared" si="77"/>
        <v>1866600</v>
      </c>
      <c r="L133" s="108"/>
      <c r="M133" s="108"/>
      <c r="N133" s="108">
        <f t="shared" si="78"/>
        <v>1866600</v>
      </c>
      <c r="O133" s="124">
        <f t="shared" si="79"/>
        <v>1866600</v>
      </c>
      <c r="P133" s="124">
        <f>ROUND(O133/3*2+80%*O133/3,-2)</f>
        <v>1742200</v>
      </c>
      <c r="Q133" s="212" t="s">
        <v>408</v>
      </c>
    </row>
    <row r="134" spans="1:17" s="63" customFormat="1" ht="26.25" customHeight="1">
      <c r="A134" s="180">
        <v>3</v>
      </c>
      <c r="B134" s="104" t="s">
        <v>159</v>
      </c>
      <c r="C134" s="105" t="s">
        <v>52</v>
      </c>
      <c r="D134" s="106">
        <v>2.46</v>
      </c>
      <c r="E134" s="107" t="s">
        <v>28</v>
      </c>
      <c r="F134" s="108">
        <f t="shared" si="75"/>
        <v>300000</v>
      </c>
      <c r="G134" s="109" t="s">
        <v>367</v>
      </c>
      <c r="H134" s="115"/>
      <c r="I134" s="116"/>
      <c r="J134" s="110">
        <f t="shared" si="76"/>
        <v>2.46</v>
      </c>
      <c r="K134" s="108">
        <f t="shared" si="77"/>
        <v>1800600</v>
      </c>
      <c r="L134" s="108"/>
      <c r="M134" s="108"/>
      <c r="N134" s="108">
        <f t="shared" si="78"/>
        <v>1800600</v>
      </c>
      <c r="O134" s="124">
        <f t="shared" si="79"/>
        <v>2000600</v>
      </c>
      <c r="P134" s="124">
        <f>O134</f>
        <v>2000600</v>
      </c>
      <c r="Q134" s="212"/>
    </row>
    <row r="135" spans="1:17" s="63" customFormat="1" ht="19.5" customHeight="1">
      <c r="A135" s="181">
        <v>4</v>
      </c>
      <c r="B135" s="104" t="s">
        <v>161</v>
      </c>
      <c r="C135" s="105" t="s">
        <v>50</v>
      </c>
      <c r="D135" s="106">
        <v>3.99</v>
      </c>
      <c r="E135" s="107" t="s">
        <v>19</v>
      </c>
      <c r="F135" s="108">
        <f t="shared" si="75"/>
        <v>300000</v>
      </c>
      <c r="G135" s="109" t="s">
        <v>367</v>
      </c>
      <c r="H135" s="113">
        <v>0.3</v>
      </c>
      <c r="I135" s="117"/>
      <c r="J135" s="110">
        <f t="shared" si="76"/>
        <v>4.29</v>
      </c>
      <c r="K135" s="108">
        <f t="shared" si="77"/>
        <v>2616900</v>
      </c>
      <c r="L135" s="108"/>
      <c r="M135" s="108"/>
      <c r="N135" s="108">
        <f t="shared" si="78"/>
        <v>2616900</v>
      </c>
      <c r="O135" s="124">
        <f t="shared" si="79"/>
        <v>2816900</v>
      </c>
      <c r="P135" s="124">
        <f>O135</f>
        <v>2816900</v>
      </c>
      <c r="Q135" s="212"/>
    </row>
    <row r="136" spans="1:17" s="63" customFormat="1" ht="19.5" customHeight="1">
      <c r="A136" s="180">
        <v>5</v>
      </c>
      <c r="B136" s="104" t="s">
        <v>162</v>
      </c>
      <c r="C136" s="105"/>
      <c r="D136" s="106">
        <v>2.26</v>
      </c>
      <c r="E136" s="107" t="s">
        <v>25</v>
      </c>
      <c r="F136" s="108">
        <f t="shared" si="75"/>
        <v>200000</v>
      </c>
      <c r="G136" s="109" t="s">
        <v>20</v>
      </c>
      <c r="H136" s="113"/>
      <c r="I136" s="117"/>
      <c r="J136" s="110">
        <f t="shared" si="76"/>
        <v>2.26</v>
      </c>
      <c r="K136" s="108">
        <f t="shared" si="77"/>
        <v>1578600</v>
      </c>
      <c r="L136" s="108"/>
      <c r="M136" s="108"/>
      <c r="N136" s="108">
        <f t="shared" si="78"/>
        <v>1578600</v>
      </c>
      <c r="O136" s="124">
        <f t="shared" si="79"/>
        <v>1578600</v>
      </c>
      <c r="P136" s="124">
        <v>1497300</v>
      </c>
      <c r="Q136" s="212"/>
    </row>
    <row r="137" spans="1:17" s="63" customFormat="1" ht="19.5" customHeight="1">
      <c r="A137" s="181">
        <v>6</v>
      </c>
      <c r="B137" s="104" t="s">
        <v>216</v>
      </c>
      <c r="C137" s="105"/>
      <c r="D137" s="106">
        <v>1.86</v>
      </c>
      <c r="E137" s="107" t="s">
        <v>25</v>
      </c>
      <c r="F137" s="108">
        <f t="shared" si="75"/>
        <v>200000</v>
      </c>
      <c r="G137" s="109" t="s">
        <v>20</v>
      </c>
      <c r="H137" s="113"/>
      <c r="I137" s="117"/>
      <c r="J137" s="110">
        <f t="shared" si="76"/>
        <v>1.86</v>
      </c>
      <c r="K137" s="108">
        <f t="shared" si="77"/>
        <v>1334600</v>
      </c>
      <c r="L137" s="108"/>
      <c r="M137" s="108"/>
      <c r="N137" s="108">
        <f t="shared" si="78"/>
        <v>1334600</v>
      </c>
      <c r="O137" s="124">
        <f t="shared" si="79"/>
        <v>1334600</v>
      </c>
      <c r="P137" s="124">
        <f>O137</f>
        <v>1334600</v>
      </c>
      <c r="Q137" s="212"/>
    </row>
    <row r="138" spans="1:17" s="63" customFormat="1" ht="19.5" customHeight="1">
      <c r="A138" s="181">
        <v>9</v>
      </c>
      <c r="B138" s="104" t="s">
        <v>160</v>
      </c>
      <c r="C138" s="105" t="s">
        <v>52</v>
      </c>
      <c r="D138" s="106">
        <v>2.26</v>
      </c>
      <c r="E138" s="107" t="s">
        <v>25</v>
      </c>
      <c r="F138" s="108">
        <f>IF(E138="ĐH",300000,IF(E138="CĐ",300000,200000))</f>
        <v>200000</v>
      </c>
      <c r="G138" s="109" t="s">
        <v>20</v>
      </c>
      <c r="H138" s="115"/>
      <c r="I138" s="116"/>
      <c r="J138" s="110">
        <f>D138+H138+I138*D138</f>
        <v>2.26</v>
      </c>
      <c r="K138" s="108">
        <f>ROUND(IF(AND(E138="ĐH",J138&lt;=3),$K$3*J138+300000,IF(AND(E138="CĐ",J138&lt;=3),J138*$K$3+300000,IF(AND(E138="K",J138&lt;=3),J138*$K$3+200000,J138*$K$3))),-2)</f>
        <v>1578600</v>
      </c>
      <c r="L138" s="108"/>
      <c r="M138" s="108"/>
      <c r="N138" s="108">
        <f>ROUND(IF(AND(J138&lt;=3,K138&gt;$N$3),$N$3,K138),-2)</f>
        <v>1578600</v>
      </c>
      <c r="O138" s="124">
        <f>ROUND(IF(G138="A+",(N138*100%+L138-M138+200000),IF(G138="A",(N138*100%+L138-M138),IF(G138="B",(N138*80%+L138-M138),(N138*60%+L138-M138)))),-2)</f>
        <v>1578600</v>
      </c>
      <c r="P138" s="124">
        <f>O138</f>
        <v>1578600</v>
      </c>
      <c r="Q138" s="212"/>
    </row>
    <row r="139" spans="1:17" s="63" customFormat="1" ht="19.5" customHeight="1">
      <c r="A139" s="180">
        <v>7</v>
      </c>
      <c r="B139" s="129" t="s">
        <v>394</v>
      </c>
      <c r="C139" s="130"/>
      <c r="D139" s="131">
        <v>1.99</v>
      </c>
      <c r="E139" s="132" t="s">
        <v>19</v>
      </c>
      <c r="F139" s="133">
        <f t="shared" si="75"/>
        <v>300000</v>
      </c>
      <c r="G139" s="109" t="s">
        <v>20</v>
      </c>
      <c r="H139" s="206"/>
      <c r="I139" s="145"/>
      <c r="J139" s="135">
        <f t="shared" si="76"/>
        <v>1.99</v>
      </c>
      <c r="K139" s="133">
        <f t="shared" si="77"/>
        <v>1513900</v>
      </c>
      <c r="L139" s="133"/>
      <c r="M139" s="133"/>
      <c r="N139" s="133">
        <f t="shared" si="78"/>
        <v>1513900</v>
      </c>
      <c r="O139" s="124">
        <f t="shared" si="79"/>
        <v>1513900</v>
      </c>
      <c r="P139" s="124">
        <f>O139</f>
        <v>1513900</v>
      </c>
      <c r="Q139" s="215"/>
    </row>
    <row r="140" spans="1:17" s="63" customFormat="1" ht="19.5" customHeight="1">
      <c r="A140" s="181">
        <v>8</v>
      </c>
      <c r="B140" s="129" t="s">
        <v>163</v>
      </c>
      <c r="C140" s="130" t="s">
        <v>141</v>
      </c>
      <c r="D140" s="131">
        <v>2.73</v>
      </c>
      <c r="E140" s="132" t="s">
        <v>25</v>
      </c>
      <c r="F140" s="133">
        <f t="shared" si="75"/>
        <v>200000</v>
      </c>
      <c r="G140" s="134" t="s">
        <v>20</v>
      </c>
      <c r="H140" s="135"/>
      <c r="I140" s="136"/>
      <c r="J140" s="135">
        <f t="shared" si="76"/>
        <v>2.73</v>
      </c>
      <c r="K140" s="133">
        <f t="shared" si="77"/>
        <v>1865300</v>
      </c>
      <c r="L140" s="133"/>
      <c r="M140" s="133"/>
      <c r="N140" s="133">
        <f t="shared" si="78"/>
        <v>1830000</v>
      </c>
      <c r="O140" s="124">
        <f t="shared" si="79"/>
        <v>1830000</v>
      </c>
      <c r="P140" s="124">
        <f>O140</f>
        <v>1830000</v>
      </c>
      <c r="Q140" s="215"/>
    </row>
    <row r="141" spans="1:17" s="63" customFormat="1" ht="19.5" customHeight="1">
      <c r="A141" s="182">
        <f>COUNT(A132:A140)</f>
        <v>9</v>
      </c>
      <c r="B141" s="93" t="s">
        <v>43</v>
      </c>
      <c r="C141" s="53"/>
      <c r="D141" s="38">
        <f>SUM(D132:D140)</f>
        <v>24.269999999999996</v>
      </c>
      <c r="E141" s="38"/>
      <c r="F141" s="94">
        <f>SUM(F132:F140)</f>
        <v>2200000</v>
      </c>
      <c r="G141" s="67"/>
      <c r="H141" s="38">
        <f aca="true" t="shared" si="80" ref="H141:P141">SUM(H132:H140)</f>
        <v>0.7</v>
      </c>
      <c r="I141" s="39">
        <f t="shared" si="80"/>
        <v>0</v>
      </c>
      <c r="J141" s="40">
        <f t="shared" si="80"/>
        <v>24.97</v>
      </c>
      <c r="K141" s="94">
        <f t="shared" si="80"/>
        <v>16631700</v>
      </c>
      <c r="L141" s="94">
        <f t="shared" si="80"/>
        <v>0</v>
      </c>
      <c r="M141" s="94">
        <f t="shared" si="80"/>
        <v>0</v>
      </c>
      <c r="N141" s="94">
        <f t="shared" si="80"/>
        <v>16596400</v>
      </c>
      <c r="O141" s="94">
        <f t="shared" si="80"/>
        <v>16501100</v>
      </c>
      <c r="P141" s="94">
        <f t="shared" si="80"/>
        <v>16378000</v>
      </c>
      <c r="Q141" s="216"/>
    </row>
    <row r="142" spans="1:17" s="63" customFormat="1" ht="19.5" customHeight="1">
      <c r="A142" s="182" t="s">
        <v>173</v>
      </c>
      <c r="B142" s="252" t="s">
        <v>165</v>
      </c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3"/>
    </row>
    <row r="143" spans="1:17" s="63" customFormat="1" ht="29.25" customHeight="1">
      <c r="A143" s="180">
        <v>1</v>
      </c>
      <c r="B143" s="120" t="s">
        <v>166</v>
      </c>
      <c r="C143" s="121" t="s">
        <v>27</v>
      </c>
      <c r="D143" s="122">
        <v>4.06</v>
      </c>
      <c r="E143" s="123" t="s">
        <v>25</v>
      </c>
      <c r="F143" s="124">
        <f aca="true" t="shared" si="81" ref="F143:F150">IF(E143="ĐH",300000,IF(E143="CĐ",300000,200000))</f>
        <v>200000</v>
      </c>
      <c r="G143" s="125" t="s">
        <v>20</v>
      </c>
      <c r="H143" s="126">
        <v>0.3</v>
      </c>
      <c r="I143" s="127">
        <v>0.06</v>
      </c>
      <c r="J143" s="126">
        <f aca="true" t="shared" si="82" ref="J143:J151">D143+H143+I143*D143</f>
        <v>4.603599999999999</v>
      </c>
      <c r="K143" s="124">
        <f aca="true" t="shared" si="83" ref="K143:K150">ROUND(IF(AND(E143="ĐH",J143&lt;=3),$K$3*J143+300000,IF(AND(E143="CĐ",J143&lt;=3),J143*$K$3+300000,IF(AND(E143="K",J143&lt;=3),J143*$K$3+200000,J143*$K$3))),-2)</f>
        <v>2808200</v>
      </c>
      <c r="L143" s="124"/>
      <c r="M143" s="124"/>
      <c r="N143" s="124">
        <f aca="true" t="shared" si="84" ref="N143:N150">ROUND(IF(AND(J143&lt;=3,K143&gt;$N$3),$N$3,K143),-2)</f>
        <v>2808200</v>
      </c>
      <c r="O143" s="124">
        <f aca="true" t="shared" si="85" ref="O143:O150">ROUND(IF(G143="A+",(N143*100%+L143-M143+200000),IF(G143="A",(N143*100%+L143-M143),IF(G143="B",(N143*80%+L143-M143),(N143*60%+L143-M143)))),-2)</f>
        <v>2808200</v>
      </c>
      <c r="P143" s="124">
        <f>O143</f>
        <v>2808200</v>
      </c>
      <c r="Q143" s="212"/>
    </row>
    <row r="144" spans="1:17" s="63" customFormat="1" ht="24" customHeight="1">
      <c r="A144" s="181">
        <v>2</v>
      </c>
      <c r="B144" s="104" t="s">
        <v>60</v>
      </c>
      <c r="C144" s="105" t="s">
        <v>27</v>
      </c>
      <c r="D144" s="106">
        <v>4.06</v>
      </c>
      <c r="E144" s="107" t="s">
        <v>25</v>
      </c>
      <c r="F144" s="108">
        <f>IF(E144="ĐH",300000,IF(E144="CĐ",300000,200000))</f>
        <v>200000</v>
      </c>
      <c r="G144" s="125" t="s">
        <v>20</v>
      </c>
      <c r="H144" s="110"/>
      <c r="I144" s="111">
        <v>0.06</v>
      </c>
      <c r="J144" s="110">
        <f t="shared" si="82"/>
        <v>4.303599999999999</v>
      </c>
      <c r="K144" s="108">
        <f t="shared" si="83"/>
        <v>2625200</v>
      </c>
      <c r="L144" s="108"/>
      <c r="M144" s="108"/>
      <c r="N144" s="108">
        <f>ROUND(IF(AND(J144&lt;=3,K144&gt;$N$3),$N$3,K144),-2)</f>
        <v>2625200</v>
      </c>
      <c r="O144" s="124">
        <f t="shared" si="85"/>
        <v>2625200</v>
      </c>
      <c r="P144" s="124">
        <f aca="true" t="shared" si="86" ref="P144:P150">O144</f>
        <v>2625200</v>
      </c>
      <c r="Q144" s="212"/>
    </row>
    <row r="145" spans="1:17" s="63" customFormat="1" ht="19.5" customHeight="1">
      <c r="A145" s="181">
        <v>3</v>
      </c>
      <c r="B145" s="104" t="s">
        <v>167</v>
      </c>
      <c r="C145" s="105" t="s">
        <v>78</v>
      </c>
      <c r="D145" s="106">
        <v>2.86</v>
      </c>
      <c r="E145" s="107" t="s">
        <v>25</v>
      </c>
      <c r="F145" s="108">
        <f t="shared" si="81"/>
        <v>200000</v>
      </c>
      <c r="G145" s="109" t="s">
        <v>20</v>
      </c>
      <c r="H145" s="110"/>
      <c r="I145" s="111"/>
      <c r="J145" s="110">
        <f t="shared" si="82"/>
        <v>2.86</v>
      </c>
      <c r="K145" s="108">
        <f t="shared" si="83"/>
        <v>1944600</v>
      </c>
      <c r="L145" s="108"/>
      <c r="M145" s="108"/>
      <c r="N145" s="108">
        <f t="shared" si="84"/>
        <v>1830000</v>
      </c>
      <c r="O145" s="124">
        <f t="shared" si="85"/>
        <v>1830000</v>
      </c>
      <c r="P145" s="124">
        <f t="shared" si="86"/>
        <v>1830000</v>
      </c>
      <c r="Q145" s="222"/>
    </row>
    <row r="146" spans="1:17" s="63" customFormat="1" ht="19.5" customHeight="1">
      <c r="A146" s="181">
        <v>4</v>
      </c>
      <c r="B146" s="104" t="s">
        <v>168</v>
      </c>
      <c r="C146" s="114" t="s">
        <v>30</v>
      </c>
      <c r="D146" s="106">
        <v>2.86</v>
      </c>
      <c r="E146" s="107" t="s">
        <v>25</v>
      </c>
      <c r="F146" s="108">
        <f t="shared" si="81"/>
        <v>200000</v>
      </c>
      <c r="G146" s="109" t="s">
        <v>367</v>
      </c>
      <c r="H146" s="110">
        <v>0.3</v>
      </c>
      <c r="I146" s="111"/>
      <c r="J146" s="110">
        <f t="shared" si="82"/>
        <v>3.1599999999999997</v>
      </c>
      <c r="K146" s="108">
        <f t="shared" si="83"/>
        <v>1927600</v>
      </c>
      <c r="L146" s="108"/>
      <c r="M146" s="108"/>
      <c r="N146" s="108">
        <f t="shared" si="84"/>
        <v>1927600</v>
      </c>
      <c r="O146" s="124">
        <f t="shared" si="85"/>
        <v>2127600</v>
      </c>
      <c r="P146" s="124">
        <f t="shared" si="86"/>
        <v>2127600</v>
      </c>
      <c r="Q146" s="212"/>
    </row>
    <row r="147" spans="1:17" s="63" customFormat="1" ht="23.25" customHeight="1">
      <c r="A147" s="181">
        <v>5</v>
      </c>
      <c r="B147" s="104" t="s">
        <v>169</v>
      </c>
      <c r="C147" s="114" t="s">
        <v>52</v>
      </c>
      <c r="D147" s="106">
        <v>2.46</v>
      </c>
      <c r="E147" s="107" t="s">
        <v>25</v>
      </c>
      <c r="F147" s="108">
        <f t="shared" si="81"/>
        <v>200000</v>
      </c>
      <c r="G147" s="109" t="s">
        <v>367</v>
      </c>
      <c r="H147" s="110"/>
      <c r="I147" s="111"/>
      <c r="J147" s="110">
        <f t="shared" si="82"/>
        <v>2.46</v>
      </c>
      <c r="K147" s="108">
        <f t="shared" si="83"/>
        <v>1700600</v>
      </c>
      <c r="L147" s="108"/>
      <c r="M147" s="108"/>
      <c r="N147" s="108">
        <f t="shared" si="84"/>
        <v>1700600</v>
      </c>
      <c r="O147" s="124">
        <f t="shared" si="85"/>
        <v>1900600</v>
      </c>
      <c r="P147" s="124">
        <f t="shared" si="86"/>
        <v>1900600</v>
      </c>
      <c r="Q147" s="212"/>
    </row>
    <row r="148" spans="1:17" s="63" customFormat="1" ht="23.25" customHeight="1">
      <c r="A148" s="181">
        <v>6</v>
      </c>
      <c r="B148" s="104" t="s">
        <v>170</v>
      </c>
      <c r="C148" s="105" t="s">
        <v>78</v>
      </c>
      <c r="D148" s="106">
        <v>3</v>
      </c>
      <c r="E148" s="107" t="s">
        <v>19</v>
      </c>
      <c r="F148" s="108">
        <f t="shared" si="81"/>
        <v>300000</v>
      </c>
      <c r="G148" s="109" t="s">
        <v>20</v>
      </c>
      <c r="H148" s="110">
        <v>0.4</v>
      </c>
      <c r="I148" s="111"/>
      <c r="J148" s="110">
        <f t="shared" si="82"/>
        <v>3.4</v>
      </c>
      <c r="K148" s="108">
        <f t="shared" si="83"/>
        <v>2074000</v>
      </c>
      <c r="L148" s="108"/>
      <c r="M148" s="108"/>
      <c r="N148" s="108">
        <f t="shared" si="84"/>
        <v>2074000</v>
      </c>
      <c r="O148" s="124">
        <f t="shared" si="85"/>
        <v>2074000</v>
      </c>
      <c r="P148" s="124">
        <f t="shared" si="86"/>
        <v>2074000</v>
      </c>
      <c r="Q148" s="212"/>
    </row>
    <row r="149" spans="1:17" s="97" customFormat="1" ht="19.5" customHeight="1">
      <c r="A149" s="181">
        <v>7</v>
      </c>
      <c r="B149" s="114" t="s">
        <v>171</v>
      </c>
      <c r="C149" s="118" t="s">
        <v>30</v>
      </c>
      <c r="D149" s="106">
        <v>2.67</v>
      </c>
      <c r="E149" s="107" t="s">
        <v>19</v>
      </c>
      <c r="F149" s="108">
        <f t="shared" si="81"/>
        <v>300000</v>
      </c>
      <c r="G149" s="109" t="s">
        <v>20</v>
      </c>
      <c r="H149" s="112"/>
      <c r="I149" s="119"/>
      <c r="J149" s="110">
        <f t="shared" si="82"/>
        <v>2.67</v>
      </c>
      <c r="K149" s="109">
        <f t="shared" si="83"/>
        <v>1928700</v>
      </c>
      <c r="L149" s="108"/>
      <c r="M149" s="108"/>
      <c r="N149" s="108">
        <f t="shared" si="84"/>
        <v>1830000</v>
      </c>
      <c r="O149" s="124">
        <f t="shared" si="85"/>
        <v>1830000</v>
      </c>
      <c r="P149" s="124">
        <f>ROUND(1830000/3+1822600/3*2,-2)</f>
        <v>1825100</v>
      </c>
      <c r="Q149" s="212"/>
    </row>
    <row r="150" spans="1:17" s="63" customFormat="1" ht="19.5" customHeight="1">
      <c r="A150" s="181">
        <v>8</v>
      </c>
      <c r="B150" s="129" t="s">
        <v>172</v>
      </c>
      <c r="C150" s="137" t="s">
        <v>52</v>
      </c>
      <c r="D150" s="131">
        <v>2.46</v>
      </c>
      <c r="E150" s="132" t="s">
        <v>25</v>
      </c>
      <c r="F150" s="133">
        <f t="shared" si="81"/>
        <v>200000</v>
      </c>
      <c r="G150" s="109" t="s">
        <v>20</v>
      </c>
      <c r="H150" s="135"/>
      <c r="I150" s="136"/>
      <c r="J150" s="135">
        <f t="shared" si="82"/>
        <v>2.46</v>
      </c>
      <c r="K150" s="133">
        <f t="shared" si="83"/>
        <v>1700600</v>
      </c>
      <c r="L150" s="133"/>
      <c r="M150" s="133"/>
      <c r="N150" s="133">
        <f t="shared" si="84"/>
        <v>1700600</v>
      </c>
      <c r="O150" s="124">
        <f t="shared" si="85"/>
        <v>1700600</v>
      </c>
      <c r="P150" s="124">
        <f t="shared" si="86"/>
        <v>1700600</v>
      </c>
      <c r="Q150" s="215"/>
    </row>
    <row r="151" spans="1:17" s="63" customFormat="1" ht="19.5" customHeight="1">
      <c r="A151" s="182">
        <f>COUNT(A143:A150)</f>
        <v>8</v>
      </c>
      <c r="B151" s="93" t="s">
        <v>43</v>
      </c>
      <c r="C151" s="53"/>
      <c r="D151" s="38">
        <f>SUM(D143:D150)</f>
        <v>24.43</v>
      </c>
      <c r="E151" s="38"/>
      <c r="F151" s="94">
        <f>SUM(F143:F150)</f>
        <v>1800000</v>
      </c>
      <c r="G151" s="67"/>
      <c r="H151" s="38">
        <f>SUM(H143:H150)</f>
        <v>1</v>
      </c>
      <c r="I151" s="39">
        <f>SUM(I143:I150)</f>
        <v>0.12</v>
      </c>
      <c r="J151" s="40">
        <f t="shared" si="82"/>
        <v>28.3616</v>
      </c>
      <c r="K151" s="94">
        <f aca="true" t="shared" si="87" ref="K151:P151">SUM(K143:K150)</f>
        <v>16709500</v>
      </c>
      <c r="L151" s="94">
        <f t="shared" si="87"/>
        <v>0</v>
      </c>
      <c r="M151" s="94">
        <f t="shared" si="87"/>
        <v>0</v>
      </c>
      <c r="N151" s="94">
        <f t="shared" si="87"/>
        <v>16496200</v>
      </c>
      <c r="O151" s="94">
        <f t="shared" si="87"/>
        <v>16896200</v>
      </c>
      <c r="P151" s="94">
        <f t="shared" si="87"/>
        <v>16891300</v>
      </c>
      <c r="Q151" s="216"/>
    </row>
    <row r="152" spans="1:17" s="63" customFormat="1" ht="19.5" customHeight="1">
      <c r="A152" s="182" t="s">
        <v>203</v>
      </c>
      <c r="B152" s="252" t="s">
        <v>174</v>
      </c>
      <c r="C152" s="252"/>
      <c r="D152" s="252"/>
      <c r="E152" s="252"/>
      <c r="F152" s="252"/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3"/>
    </row>
    <row r="153" spans="1:17" s="63" customFormat="1" ht="19.5" customHeight="1">
      <c r="A153" s="180">
        <v>1</v>
      </c>
      <c r="B153" s="120" t="s">
        <v>175</v>
      </c>
      <c r="C153" s="121" t="s">
        <v>84</v>
      </c>
      <c r="D153" s="122">
        <v>4.32</v>
      </c>
      <c r="E153" s="123" t="s">
        <v>19</v>
      </c>
      <c r="F153" s="124">
        <f aca="true" t="shared" si="88" ref="F153:F165">IF(E153="ĐH",300000,IF(E153="CĐ",300000,200000))</f>
        <v>300000</v>
      </c>
      <c r="G153" s="109" t="s">
        <v>20</v>
      </c>
      <c r="H153" s="141">
        <v>0.4</v>
      </c>
      <c r="I153" s="142"/>
      <c r="J153" s="126">
        <f aca="true" t="shared" si="89" ref="J153:J165">D153+H153+I153*D153</f>
        <v>4.720000000000001</v>
      </c>
      <c r="K153" s="124">
        <f aca="true" t="shared" si="90" ref="K153:K165">ROUND(IF(AND(E153="ĐH",J153&lt;=3),$K$3*J153+300000,IF(AND(E153="CĐ",J153&lt;=3),J153*$K$3+300000,IF(AND(E153="K",J153&lt;=3),J153*$K$3+200000,J153*$K$3))),-2)</f>
        <v>2879200</v>
      </c>
      <c r="L153" s="124"/>
      <c r="M153" s="124"/>
      <c r="N153" s="124">
        <f aca="true" t="shared" si="91" ref="N153:N165">ROUND(IF(AND(J153&lt;=3,K153&gt;$N$3),$N$3,K153),-2)</f>
        <v>2879200</v>
      </c>
      <c r="O153" s="124">
        <f aca="true" t="shared" si="92" ref="O153:O165">ROUND(IF(G153="A+",(N153*100%+L153-M153+200000),IF(G153="A",(N153*100%+L153-M153),IF(G153="B",(N153*80%+L153-M153),(N153*60%+L153-M153)))),-2)</f>
        <v>2879200</v>
      </c>
      <c r="P153" s="124">
        <f>O153</f>
        <v>2879200</v>
      </c>
      <c r="Q153" s="212"/>
    </row>
    <row r="154" spans="1:17" s="63" customFormat="1" ht="24" customHeight="1">
      <c r="A154" s="181">
        <v>2</v>
      </c>
      <c r="B154" s="104" t="s">
        <v>227</v>
      </c>
      <c r="C154" s="105" t="s">
        <v>27</v>
      </c>
      <c r="D154" s="106">
        <v>4.06</v>
      </c>
      <c r="E154" s="107" t="s">
        <v>25</v>
      </c>
      <c r="F154" s="108">
        <f t="shared" si="88"/>
        <v>200000</v>
      </c>
      <c r="G154" s="109" t="s">
        <v>20</v>
      </c>
      <c r="H154" s="115"/>
      <c r="I154" s="117">
        <v>0.12</v>
      </c>
      <c r="J154" s="110">
        <f t="shared" si="89"/>
        <v>4.547199999999999</v>
      </c>
      <c r="K154" s="108">
        <f t="shared" si="90"/>
        <v>2773800</v>
      </c>
      <c r="L154" s="108"/>
      <c r="M154" s="108"/>
      <c r="N154" s="108">
        <f t="shared" si="91"/>
        <v>2773800</v>
      </c>
      <c r="O154" s="124">
        <f t="shared" si="92"/>
        <v>2773800</v>
      </c>
      <c r="P154" s="124">
        <f aca="true" t="shared" si="93" ref="P154:P165">O154</f>
        <v>2773800</v>
      </c>
      <c r="Q154" s="212"/>
    </row>
    <row r="155" spans="1:17" s="63" customFormat="1" ht="19.5" customHeight="1">
      <c r="A155" s="181">
        <v>3</v>
      </c>
      <c r="B155" s="104" t="s">
        <v>177</v>
      </c>
      <c r="C155" s="105"/>
      <c r="D155" s="106">
        <v>4.06</v>
      </c>
      <c r="E155" s="107" t="s">
        <v>25</v>
      </c>
      <c r="F155" s="108">
        <f t="shared" si="88"/>
        <v>200000</v>
      </c>
      <c r="G155" s="109" t="s">
        <v>20</v>
      </c>
      <c r="H155" s="115"/>
      <c r="I155" s="117">
        <v>0.05</v>
      </c>
      <c r="J155" s="110">
        <f t="shared" si="89"/>
        <v>4.263</v>
      </c>
      <c r="K155" s="108">
        <f t="shared" si="90"/>
        <v>2600400</v>
      </c>
      <c r="L155" s="108"/>
      <c r="M155" s="108"/>
      <c r="N155" s="108">
        <f t="shared" si="91"/>
        <v>2600400</v>
      </c>
      <c r="O155" s="124">
        <f t="shared" si="92"/>
        <v>2600400</v>
      </c>
      <c r="P155" s="124">
        <f t="shared" si="93"/>
        <v>2600400</v>
      </c>
      <c r="Q155" s="212"/>
    </row>
    <row r="156" spans="1:17" s="63" customFormat="1" ht="19.5" customHeight="1">
      <c r="A156" s="181">
        <v>4</v>
      </c>
      <c r="B156" s="104" t="s">
        <v>178</v>
      </c>
      <c r="C156" s="105"/>
      <c r="D156" s="106">
        <v>3</v>
      </c>
      <c r="E156" s="107" t="s">
        <v>19</v>
      </c>
      <c r="F156" s="108">
        <f t="shared" si="88"/>
        <v>300000</v>
      </c>
      <c r="G156" s="125" t="s">
        <v>367</v>
      </c>
      <c r="H156" s="115"/>
      <c r="I156" s="117"/>
      <c r="J156" s="110">
        <f t="shared" si="89"/>
        <v>3</v>
      </c>
      <c r="K156" s="108">
        <f t="shared" si="90"/>
        <v>2130000</v>
      </c>
      <c r="L156" s="108"/>
      <c r="M156" s="108"/>
      <c r="N156" s="108">
        <f t="shared" si="91"/>
        <v>1830000</v>
      </c>
      <c r="O156" s="124">
        <f t="shared" si="92"/>
        <v>2030000</v>
      </c>
      <c r="P156" s="124">
        <f t="shared" si="93"/>
        <v>2030000</v>
      </c>
      <c r="Q156" s="212"/>
    </row>
    <row r="157" spans="1:17" s="63" customFormat="1" ht="19.5" customHeight="1">
      <c r="A157" s="181">
        <v>5</v>
      </c>
      <c r="B157" s="104" t="s">
        <v>179</v>
      </c>
      <c r="C157" s="105" t="s">
        <v>27</v>
      </c>
      <c r="D157" s="106">
        <v>3.33</v>
      </c>
      <c r="E157" s="107" t="s">
        <v>19</v>
      </c>
      <c r="F157" s="108">
        <f t="shared" si="88"/>
        <v>300000</v>
      </c>
      <c r="G157" s="125" t="s">
        <v>20</v>
      </c>
      <c r="H157" s="115">
        <v>0.3</v>
      </c>
      <c r="I157" s="117"/>
      <c r="J157" s="110">
        <f t="shared" si="89"/>
        <v>3.63</v>
      </c>
      <c r="K157" s="108">
        <f t="shared" si="90"/>
        <v>2214300</v>
      </c>
      <c r="L157" s="108"/>
      <c r="M157" s="108"/>
      <c r="N157" s="108">
        <f t="shared" si="91"/>
        <v>2214300</v>
      </c>
      <c r="O157" s="124">
        <f t="shared" si="92"/>
        <v>2214300</v>
      </c>
      <c r="P157" s="124">
        <f t="shared" si="93"/>
        <v>2214300</v>
      </c>
      <c r="Q157" s="212"/>
    </row>
    <row r="158" spans="1:17" s="63" customFormat="1" ht="19.5" customHeight="1">
      <c r="A158" s="181">
        <v>6</v>
      </c>
      <c r="B158" s="104" t="s">
        <v>180</v>
      </c>
      <c r="C158" s="105" t="s">
        <v>50</v>
      </c>
      <c r="D158" s="106">
        <v>3</v>
      </c>
      <c r="E158" s="107" t="s">
        <v>19</v>
      </c>
      <c r="F158" s="108">
        <f t="shared" si="88"/>
        <v>300000</v>
      </c>
      <c r="G158" s="109" t="s">
        <v>20</v>
      </c>
      <c r="H158" s="115"/>
      <c r="I158" s="117"/>
      <c r="J158" s="110">
        <f t="shared" si="89"/>
        <v>3</v>
      </c>
      <c r="K158" s="108">
        <f t="shared" si="90"/>
        <v>2130000</v>
      </c>
      <c r="L158" s="108"/>
      <c r="M158" s="108"/>
      <c r="N158" s="108">
        <f t="shared" si="91"/>
        <v>1830000</v>
      </c>
      <c r="O158" s="124">
        <f t="shared" si="92"/>
        <v>1830000</v>
      </c>
      <c r="P158" s="124">
        <f t="shared" si="93"/>
        <v>1830000</v>
      </c>
      <c r="Q158" s="212"/>
    </row>
    <row r="159" spans="1:17" s="63" customFormat="1" ht="19.5" customHeight="1">
      <c r="A159" s="181">
        <v>7</v>
      </c>
      <c r="B159" s="104" t="s">
        <v>181</v>
      </c>
      <c r="C159" s="105" t="s">
        <v>71</v>
      </c>
      <c r="D159" s="106">
        <v>2.67</v>
      </c>
      <c r="E159" s="107" t="s">
        <v>19</v>
      </c>
      <c r="F159" s="108">
        <f t="shared" si="88"/>
        <v>300000</v>
      </c>
      <c r="G159" s="109" t="s">
        <v>20</v>
      </c>
      <c r="H159" s="115"/>
      <c r="I159" s="117"/>
      <c r="J159" s="110">
        <f t="shared" si="89"/>
        <v>2.67</v>
      </c>
      <c r="K159" s="108">
        <f t="shared" si="90"/>
        <v>1928700</v>
      </c>
      <c r="L159" s="108"/>
      <c r="M159" s="108"/>
      <c r="N159" s="108">
        <f t="shared" si="91"/>
        <v>1830000</v>
      </c>
      <c r="O159" s="124">
        <f t="shared" si="92"/>
        <v>1830000</v>
      </c>
      <c r="P159" s="124">
        <f>ROUND(O159/3*2.5,-2)</f>
        <v>1525000</v>
      </c>
      <c r="Q159" s="212" t="s">
        <v>406</v>
      </c>
    </row>
    <row r="160" spans="1:17" s="63" customFormat="1" ht="19.5" customHeight="1">
      <c r="A160" s="181">
        <v>8</v>
      </c>
      <c r="B160" s="104" t="s">
        <v>182</v>
      </c>
      <c r="C160" s="114" t="s">
        <v>78</v>
      </c>
      <c r="D160" s="106">
        <v>3.06</v>
      </c>
      <c r="E160" s="107" t="s">
        <v>25</v>
      </c>
      <c r="F160" s="108">
        <f>IF(E160="ĐH",300000,IF(E160="CĐ",300000,200000))</f>
        <v>200000</v>
      </c>
      <c r="G160" s="109" t="s">
        <v>20</v>
      </c>
      <c r="H160" s="110"/>
      <c r="I160" s="111"/>
      <c r="J160" s="110">
        <f t="shared" si="89"/>
        <v>3.06</v>
      </c>
      <c r="K160" s="108">
        <f t="shared" si="90"/>
        <v>1866600</v>
      </c>
      <c r="L160" s="108"/>
      <c r="M160" s="108"/>
      <c r="N160" s="108">
        <f t="shared" si="91"/>
        <v>1866600</v>
      </c>
      <c r="O160" s="124">
        <f t="shared" si="92"/>
        <v>1866600</v>
      </c>
      <c r="P160" s="124">
        <f t="shared" si="93"/>
        <v>1866600</v>
      </c>
      <c r="Q160" s="224"/>
    </row>
    <row r="161" spans="1:17" s="63" customFormat="1" ht="19.5" customHeight="1">
      <c r="A161" s="181">
        <v>9</v>
      </c>
      <c r="B161" s="104" t="s">
        <v>183</v>
      </c>
      <c r="C161" s="105" t="s">
        <v>50</v>
      </c>
      <c r="D161" s="106">
        <v>2.86</v>
      </c>
      <c r="E161" s="107" t="s">
        <v>25</v>
      </c>
      <c r="F161" s="108">
        <f t="shared" si="88"/>
        <v>200000</v>
      </c>
      <c r="G161" s="109" t="s">
        <v>20</v>
      </c>
      <c r="H161" s="115"/>
      <c r="I161" s="117"/>
      <c r="J161" s="110">
        <f t="shared" si="89"/>
        <v>2.86</v>
      </c>
      <c r="K161" s="108">
        <f t="shared" si="90"/>
        <v>1944600</v>
      </c>
      <c r="L161" s="108"/>
      <c r="M161" s="108"/>
      <c r="N161" s="108">
        <f t="shared" si="91"/>
        <v>1830000</v>
      </c>
      <c r="O161" s="124">
        <f t="shared" si="92"/>
        <v>1830000</v>
      </c>
      <c r="P161" s="124">
        <f t="shared" si="93"/>
        <v>1830000</v>
      </c>
      <c r="Q161" s="212"/>
    </row>
    <row r="162" spans="1:17" s="63" customFormat="1" ht="29.25" customHeight="1">
      <c r="A162" s="181">
        <v>10</v>
      </c>
      <c r="B162" s="104" t="s">
        <v>219</v>
      </c>
      <c r="C162" s="105"/>
      <c r="D162" s="106">
        <v>2.34</v>
      </c>
      <c r="E162" s="107" t="s">
        <v>19</v>
      </c>
      <c r="F162" s="108">
        <f t="shared" si="88"/>
        <v>300000</v>
      </c>
      <c r="G162" s="109" t="s">
        <v>20</v>
      </c>
      <c r="H162" s="115"/>
      <c r="I162" s="117"/>
      <c r="J162" s="110">
        <f t="shared" si="89"/>
        <v>2.34</v>
      </c>
      <c r="K162" s="108">
        <f t="shared" si="90"/>
        <v>1727400</v>
      </c>
      <c r="L162" s="108"/>
      <c r="M162" s="108"/>
      <c r="N162" s="108">
        <f t="shared" si="91"/>
        <v>1727400</v>
      </c>
      <c r="O162" s="124">
        <f t="shared" si="92"/>
        <v>1727400</v>
      </c>
      <c r="P162" s="124">
        <f t="shared" si="93"/>
        <v>1727400</v>
      </c>
      <c r="Q162" s="212"/>
    </row>
    <row r="163" spans="1:17" s="63" customFormat="1" ht="27" customHeight="1">
      <c r="A163" s="181">
        <v>11</v>
      </c>
      <c r="B163" s="104" t="s">
        <v>226</v>
      </c>
      <c r="C163" s="105" t="s">
        <v>50</v>
      </c>
      <c r="D163" s="106">
        <v>2.06</v>
      </c>
      <c r="E163" s="107" t="s">
        <v>25</v>
      </c>
      <c r="F163" s="108">
        <f>IF(E163="ĐH",300000,IF(E163="CĐ",300000,200000))</f>
        <v>200000</v>
      </c>
      <c r="G163" s="109" t="s">
        <v>20</v>
      </c>
      <c r="H163" s="115"/>
      <c r="I163" s="117"/>
      <c r="J163" s="110">
        <f>D163+H163+I163*D163</f>
        <v>2.06</v>
      </c>
      <c r="K163" s="108">
        <f>ROUND(IF(AND(E163="ĐH",J163&lt;=3),$K$3*J163+300000,IF(AND(E163="CĐ",J163&lt;=3),J163*$K$3+300000,IF(AND(E163="K",J163&lt;=3),J163*$K$3+200000,J163*$K$3))),-2)</f>
        <v>1456600</v>
      </c>
      <c r="L163" s="108"/>
      <c r="M163" s="108"/>
      <c r="N163" s="108">
        <f>ROUND(IF(AND(J163&lt;=3,K163&gt;$N$3),$N$3,K163),-2)</f>
        <v>1456600</v>
      </c>
      <c r="O163" s="124">
        <f t="shared" si="92"/>
        <v>1456600</v>
      </c>
      <c r="P163" s="124">
        <f>ROUND(O163/3,-2)</f>
        <v>485500</v>
      </c>
      <c r="Q163" s="212" t="s">
        <v>396</v>
      </c>
    </row>
    <row r="164" spans="1:17" s="63" customFormat="1" ht="25.5" customHeight="1">
      <c r="A164" s="181">
        <v>12</v>
      </c>
      <c r="B164" s="129" t="s">
        <v>395</v>
      </c>
      <c r="C164" s="130"/>
      <c r="D164" s="131">
        <v>1.99</v>
      </c>
      <c r="E164" s="132" t="s">
        <v>19</v>
      </c>
      <c r="F164" s="133">
        <f>IF(E164="ĐH",300000,IF(E164="CĐ",300000,200000))</f>
        <v>300000</v>
      </c>
      <c r="G164" s="134" t="s">
        <v>20</v>
      </c>
      <c r="H164" s="143"/>
      <c r="I164" s="145"/>
      <c r="J164" s="135">
        <f>D164+H164+I164*D164</f>
        <v>1.99</v>
      </c>
      <c r="K164" s="133">
        <f>ROUND(IF(AND(E164="ĐH",J164&lt;=3),$K$3*J164+300000,IF(AND(E164="CĐ",J164&lt;=3),J164*$K$3+300000,IF(AND(E164="K",J164&lt;=3),J164*$K$3+200000,J164*$K$3))),-2)</f>
        <v>1513900</v>
      </c>
      <c r="L164" s="133"/>
      <c r="M164" s="133"/>
      <c r="N164" s="133">
        <f>ROUND(IF(AND(J164&lt;=3,K164&gt;$N$3),$N$3,K164),-2)</f>
        <v>1513900</v>
      </c>
      <c r="O164" s="124">
        <f t="shared" si="92"/>
        <v>1513900</v>
      </c>
      <c r="P164" s="124">
        <f>ROUND(O164/3*2.5,-2)</f>
        <v>1261600</v>
      </c>
      <c r="Q164" s="221" t="s">
        <v>390</v>
      </c>
    </row>
    <row r="165" spans="1:17" s="63" customFormat="1" ht="26.25" customHeight="1">
      <c r="A165" s="181">
        <v>13</v>
      </c>
      <c r="B165" s="129" t="s">
        <v>184</v>
      </c>
      <c r="C165" s="130"/>
      <c r="D165" s="131">
        <v>2.67</v>
      </c>
      <c r="E165" s="132" t="s">
        <v>19</v>
      </c>
      <c r="F165" s="133">
        <f t="shared" si="88"/>
        <v>300000</v>
      </c>
      <c r="G165" s="125" t="s">
        <v>367</v>
      </c>
      <c r="H165" s="143"/>
      <c r="I165" s="145"/>
      <c r="J165" s="135">
        <f t="shared" si="89"/>
        <v>2.67</v>
      </c>
      <c r="K165" s="133">
        <f t="shared" si="90"/>
        <v>1928700</v>
      </c>
      <c r="L165" s="133"/>
      <c r="M165" s="133"/>
      <c r="N165" s="133">
        <f t="shared" si="91"/>
        <v>1830000</v>
      </c>
      <c r="O165" s="124">
        <f t="shared" si="92"/>
        <v>2030000</v>
      </c>
      <c r="P165" s="124">
        <f t="shared" si="93"/>
        <v>2030000</v>
      </c>
      <c r="Q165" s="215"/>
    </row>
    <row r="166" spans="1:17" s="63" customFormat="1" ht="19.5" customHeight="1">
      <c r="A166" s="184">
        <f>COUNT(A153:A165)</f>
        <v>13</v>
      </c>
      <c r="B166" s="93" t="s">
        <v>43</v>
      </c>
      <c r="C166" s="53"/>
      <c r="D166" s="38">
        <f>SUM(D153:D165)</f>
        <v>39.42</v>
      </c>
      <c r="E166" s="38"/>
      <c r="F166" s="94">
        <f>SUM(F153:F165)</f>
        <v>3400000</v>
      </c>
      <c r="G166" s="67"/>
      <c r="H166" s="38">
        <f aca="true" t="shared" si="94" ref="H166:P166">SUM(H153:H165)</f>
        <v>0.7</v>
      </c>
      <c r="I166" s="59">
        <f t="shared" si="94"/>
        <v>0.16999999999999998</v>
      </c>
      <c r="J166" s="38">
        <f t="shared" si="94"/>
        <v>40.8102</v>
      </c>
      <c r="K166" s="94">
        <f t="shared" si="94"/>
        <v>27094200</v>
      </c>
      <c r="L166" s="94">
        <f t="shared" si="94"/>
        <v>0</v>
      </c>
      <c r="M166" s="94">
        <f>SUM(M153:M165)</f>
        <v>0</v>
      </c>
      <c r="N166" s="94">
        <f t="shared" si="94"/>
        <v>26182200</v>
      </c>
      <c r="O166" s="94">
        <f t="shared" si="94"/>
        <v>26582200</v>
      </c>
      <c r="P166" s="94">
        <f t="shared" si="94"/>
        <v>25053800</v>
      </c>
      <c r="Q166" s="216"/>
    </row>
    <row r="167" spans="1:17" s="63" customFormat="1" ht="19.5" customHeight="1">
      <c r="A167" s="184" t="s">
        <v>204</v>
      </c>
      <c r="B167" s="252" t="s">
        <v>185</v>
      </c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3"/>
    </row>
    <row r="168" spans="1:17" s="63" customFormat="1" ht="19.5" customHeight="1">
      <c r="A168" s="180">
        <v>1</v>
      </c>
      <c r="B168" s="120" t="s">
        <v>157</v>
      </c>
      <c r="C168" s="121" t="s">
        <v>84</v>
      </c>
      <c r="D168" s="122">
        <v>4.65</v>
      </c>
      <c r="E168" s="123" t="s">
        <v>19</v>
      </c>
      <c r="F168" s="124">
        <f aca="true" t="shared" si="95" ref="F168:F173">IF(E168="ĐH",300000,IF(E168="CĐ",300000,200000))</f>
        <v>300000</v>
      </c>
      <c r="G168" s="109" t="s">
        <v>20</v>
      </c>
      <c r="H168" s="126">
        <v>0.4</v>
      </c>
      <c r="I168" s="127"/>
      <c r="J168" s="126">
        <f aca="true" t="shared" si="96" ref="J168:J173">D168+H168+I168*D168</f>
        <v>5.050000000000001</v>
      </c>
      <c r="K168" s="124">
        <f aca="true" t="shared" si="97" ref="K168:K173">ROUND(IF(AND(E168="ĐH",J168&lt;=3),$K$3*J168+300000,IF(AND(E168="CĐ",J168&lt;=3),J168*$K$3+300000,IF(AND(E168="K",J168&lt;=3),J168*$K$3+200000,J168*$K$3))),-2)</f>
        <v>3080500</v>
      </c>
      <c r="L168" s="124"/>
      <c r="M168" s="124"/>
      <c r="N168" s="124">
        <f aca="true" t="shared" si="98" ref="N168:N173">ROUND(IF(AND(J168&lt;=3,K168&gt;$N$3),$N$3,K168),-2)</f>
        <v>3080500</v>
      </c>
      <c r="O168" s="124">
        <f aca="true" t="shared" si="99" ref="O168:O173">ROUND(IF(G168="A+",(N168*100%+L168-M168+200000),IF(G168="A",(N168*100%+L168-M168),IF(G168="B",(N168*80%+L168-M168),(N168*60%+L168-M168)))),-2)</f>
        <v>3080500</v>
      </c>
      <c r="P168" s="124">
        <f aca="true" t="shared" si="100" ref="P168:P173">O168</f>
        <v>3080500</v>
      </c>
      <c r="Q168" s="212"/>
    </row>
    <row r="169" spans="1:17" s="63" customFormat="1" ht="19.5" customHeight="1">
      <c r="A169" s="181">
        <v>2</v>
      </c>
      <c r="B169" s="104" t="s">
        <v>186</v>
      </c>
      <c r="C169" s="105" t="s">
        <v>96</v>
      </c>
      <c r="D169" s="106">
        <v>2.55</v>
      </c>
      <c r="E169" s="107" t="s">
        <v>25</v>
      </c>
      <c r="F169" s="108">
        <f t="shared" si="95"/>
        <v>200000</v>
      </c>
      <c r="G169" s="109" t="s">
        <v>20</v>
      </c>
      <c r="H169" s="110"/>
      <c r="I169" s="111"/>
      <c r="J169" s="110">
        <f t="shared" si="96"/>
        <v>2.55</v>
      </c>
      <c r="K169" s="108">
        <f t="shared" si="97"/>
        <v>1755500</v>
      </c>
      <c r="L169" s="108"/>
      <c r="M169" s="108"/>
      <c r="N169" s="108">
        <f t="shared" si="98"/>
        <v>1755500</v>
      </c>
      <c r="O169" s="124">
        <f t="shared" si="99"/>
        <v>1755500</v>
      </c>
      <c r="P169" s="124">
        <f t="shared" si="100"/>
        <v>1755500</v>
      </c>
      <c r="Q169" s="212"/>
    </row>
    <row r="170" spans="1:17" s="63" customFormat="1" ht="19.5" customHeight="1">
      <c r="A170" s="181">
        <v>3</v>
      </c>
      <c r="B170" s="104" t="s">
        <v>187</v>
      </c>
      <c r="C170" s="105" t="s">
        <v>75</v>
      </c>
      <c r="D170" s="106">
        <v>3.06</v>
      </c>
      <c r="E170" s="107" t="s">
        <v>25</v>
      </c>
      <c r="F170" s="108">
        <f t="shared" si="95"/>
        <v>200000</v>
      </c>
      <c r="G170" s="109" t="s">
        <v>20</v>
      </c>
      <c r="H170" s="110"/>
      <c r="I170" s="111"/>
      <c r="J170" s="110">
        <f t="shared" si="96"/>
        <v>3.06</v>
      </c>
      <c r="K170" s="108">
        <f t="shared" si="97"/>
        <v>1866600</v>
      </c>
      <c r="L170" s="108"/>
      <c r="M170" s="108"/>
      <c r="N170" s="108">
        <f t="shared" si="98"/>
        <v>1866600</v>
      </c>
      <c r="O170" s="124">
        <f t="shared" si="99"/>
        <v>1866600</v>
      </c>
      <c r="P170" s="124">
        <f t="shared" si="100"/>
        <v>1866600</v>
      </c>
      <c r="Q170" s="212"/>
    </row>
    <row r="171" spans="1:17" s="97" customFormat="1" ht="29.25" customHeight="1">
      <c r="A171" s="181">
        <v>4</v>
      </c>
      <c r="B171" s="114" t="s">
        <v>188</v>
      </c>
      <c r="C171" s="207" t="s">
        <v>78</v>
      </c>
      <c r="D171" s="107">
        <v>3.06</v>
      </c>
      <c r="E171" s="107" t="s">
        <v>25</v>
      </c>
      <c r="F171" s="109">
        <f t="shared" si="95"/>
        <v>200000</v>
      </c>
      <c r="G171" s="109" t="s">
        <v>48</v>
      </c>
      <c r="H171" s="112"/>
      <c r="I171" s="119"/>
      <c r="J171" s="112">
        <f t="shared" si="96"/>
        <v>3.06</v>
      </c>
      <c r="K171" s="109">
        <f t="shared" si="97"/>
        <v>1866600</v>
      </c>
      <c r="L171" s="109"/>
      <c r="M171" s="109"/>
      <c r="N171" s="108">
        <f t="shared" si="98"/>
        <v>1866600</v>
      </c>
      <c r="O171" s="124">
        <f t="shared" si="99"/>
        <v>1493300</v>
      </c>
      <c r="P171" s="124">
        <f>ROUND((N171/3*2+80%*N171/3+L171),-2)</f>
        <v>1742200</v>
      </c>
      <c r="Q171" s="225" t="s">
        <v>375</v>
      </c>
    </row>
    <row r="172" spans="1:17" s="63" customFormat="1" ht="19.5" customHeight="1">
      <c r="A172" s="181">
        <v>5</v>
      </c>
      <c r="B172" s="104" t="s">
        <v>189</v>
      </c>
      <c r="C172" s="114" t="s">
        <v>78</v>
      </c>
      <c r="D172" s="106">
        <v>3</v>
      </c>
      <c r="E172" s="112" t="s">
        <v>19</v>
      </c>
      <c r="F172" s="108">
        <f t="shared" si="95"/>
        <v>300000</v>
      </c>
      <c r="G172" s="109" t="s">
        <v>367</v>
      </c>
      <c r="H172" s="110">
        <v>0.3</v>
      </c>
      <c r="I172" s="111"/>
      <c r="J172" s="110">
        <f t="shared" si="96"/>
        <v>3.3</v>
      </c>
      <c r="K172" s="108">
        <f t="shared" si="97"/>
        <v>2013000</v>
      </c>
      <c r="L172" s="108"/>
      <c r="M172" s="108"/>
      <c r="N172" s="108">
        <f t="shared" si="98"/>
        <v>2013000</v>
      </c>
      <c r="O172" s="124">
        <f t="shared" si="99"/>
        <v>2213000</v>
      </c>
      <c r="P172" s="124">
        <f t="shared" si="100"/>
        <v>2213000</v>
      </c>
      <c r="Q172" s="212"/>
    </row>
    <row r="173" spans="1:17" s="63" customFormat="1" ht="19.5" customHeight="1">
      <c r="A173" s="181">
        <v>6</v>
      </c>
      <c r="B173" s="129" t="s">
        <v>190</v>
      </c>
      <c r="C173" s="130" t="s">
        <v>141</v>
      </c>
      <c r="D173" s="131">
        <v>2.73</v>
      </c>
      <c r="E173" s="132" t="s">
        <v>25</v>
      </c>
      <c r="F173" s="133">
        <f t="shared" si="95"/>
        <v>200000</v>
      </c>
      <c r="G173" s="134" t="s">
        <v>20</v>
      </c>
      <c r="H173" s="135"/>
      <c r="I173" s="136"/>
      <c r="J173" s="135">
        <f t="shared" si="96"/>
        <v>2.73</v>
      </c>
      <c r="K173" s="133">
        <f t="shared" si="97"/>
        <v>1865300</v>
      </c>
      <c r="L173" s="133"/>
      <c r="M173" s="133"/>
      <c r="N173" s="133">
        <f t="shared" si="98"/>
        <v>1830000</v>
      </c>
      <c r="O173" s="124">
        <f t="shared" si="99"/>
        <v>1830000</v>
      </c>
      <c r="P173" s="124">
        <f t="shared" si="100"/>
        <v>1830000</v>
      </c>
      <c r="Q173" s="215"/>
    </row>
    <row r="174" spans="1:17" s="63" customFormat="1" ht="19.5" customHeight="1">
      <c r="A174" s="184">
        <f>COUNT(A168:A173)</f>
        <v>6</v>
      </c>
      <c r="B174" s="93" t="s">
        <v>43</v>
      </c>
      <c r="C174" s="53"/>
      <c r="D174" s="38">
        <f>SUM(D168:D173)</f>
        <v>19.05</v>
      </c>
      <c r="E174" s="38"/>
      <c r="F174" s="94">
        <f>SUM(F169:F173)</f>
        <v>1100000</v>
      </c>
      <c r="G174" s="67"/>
      <c r="H174" s="38">
        <f>SUM(H168:H173)</f>
        <v>0.7</v>
      </c>
      <c r="I174" s="59">
        <f>SUM(I168:I173)</f>
        <v>0</v>
      </c>
      <c r="J174" s="38">
        <f>SUM(J168:J173)</f>
        <v>19.75</v>
      </c>
      <c r="K174" s="94">
        <f>SUM(K168:K173)</f>
        <v>12447500</v>
      </c>
      <c r="L174" s="94">
        <f>SUM(L169:L173)</f>
        <v>0</v>
      </c>
      <c r="M174" s="94">
        <f>SUM(M168:M173)</f>
        <v>0</v>
      </c>
      <c r="N174" s="94">
        <f>SUM(N168:N173)</f>
        <v>12412200</v>
      </c>
      <c r="O174" s="94">
        <f>SUM(O168:O173)</f>
        <v>12238900</v>
      </c>
      <c r="P174" s="94">
        <f>SUM(P168:P173)</f>
        <v>12487800</v>
      </c>
      <c r="Q174" s="216"/>
    </row>
    <row r="175" spans="1:17" s="63" customFormat="1" ht="19.5" customHeight="1">
      <c r="A175" s="184" t="s">
        <v>376</v>
      </c>
      <c r="B175" s="255" t="s">
        <v>377</v>
      </c>
      <c r="C175" s="255"/>
      <c r="D175" s="255"/>
      <c r="E175" s="255"/>
      <c r="F175" s="255"/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6"/>
    </row>
    <row r="176" spans="1:17" s="63" customFormat="1" ht="19.5" customHeight="1">
      <c r="A176" s="185">
        <v>1</v>
      </c>
      <c r="B176" s="155" t="s">
        <v>378</v>
      </c>
      <c r="C176" s="156"/>
      <c r="D176" s="157">
        <v>1.99</v>
      </c>
      <c r="E176" s="158" t="s">
        <v>19</v>
      </c>
      <c r="F176" s="96">
        <f>IF(E176="ĐH",300000,IF(E176="CĐ",300000,200000))</f>
        <v>300000</v>
      </c>
      <c r="G176" s="159" t="s">
        <v>20</v>
      </c>
      <c r="H176" s="160"/>
      <c r="I176" s="161"/>
      <c r="J176" s="160">
        <f>D176+H176+I176*D176</f>
        <v>1.99</v>
      </c>
      <c r="K176" s="96">
        <f>ROUND(IF(AND(E176="ĐH",J176&lt;=3),$K$3*J176+300000,IF(AND(E176="CĐ",J176&lt;=3),J176*$K$3+300000,IF(AND(E176="K",J176&lt;=3),J176*$K$3+200000,J176*$K$3))),-2)</f>
        <v>1513900</v>
      </c>
      <c r="L176" s="162"/>
      <c r="M176" s="162"/>
      <c r="N176" s="96">
        <f>ROUND(IF(AND(J176&lt;=3,K176&gt;$N$3),$N$3,K176),-2)</f>
        <v>1513900</v>
      </c>
      <c r="O176" s="96">
        <f>ROUND(IF(G176="A+",(N176*100%+L176-M176+200000),IF(G176="A",(N176*100%+L176-M176),IF(G176="B",(N176*80%+L176-M176),(N176*60%+L176-M176)))),-2)</f>
        <v>1513900</v>
      </c>
      <c r="P176" s="96">
        <f>O176</f>
        <v>1513900</v>
      </c>
      <c r="Q176" s="226"/>
    </row>
    <row r="177" spans="1:17" s="63" customFormat="1" ht="19.5" customHeight="1">
      <c r="A177" s="186">
        <v>2</v>
      </c>
      <c r="B177" s="163" t="s">
        <v>379</v>
      </c>
      <c r="C177" s="50"/>
      <c r="D177" s="164">
        <v>1.65</v>
      </c>
      <c r="E177" s="165" t="s">
        <v>25</v>
      </c>
      <c r="F177" s="166">
        <f>IF(E177="ĐH",300000,IF(E177="CĐ",300000,200000))</f>
        <v>200000</v>
      </c>
      <c r="G177" s="167" t="s">
        <v>20</v>
      </c>
      <c r="H177" s="164"/>
      <c r="I177" s="168"/>
      <c r="J177" s="51">
        <f>D177+H177+I177*D177</f>
        <v>1.65</v>
      </c>
      <c r="K177" s="166">
        <f>ROUND(IF(AND(E177="ĐH",J177&lt;=3),$K$3*J177+300000,IF(AND(E177="CĐ",J177&lt;=3),J177*$K$3+300000,IF(AND(E177="K",J177&lt;=3),J177*$K$3+200000,J177*$K$3))),-2)</f>
        <v>1206500</v>
      </c>
      <c r="L177" s="152"/>
      <c r="M177" s="152"/>
      <c r="N177" s="166">
        <f>ROUND(IF(AND(J177&lt;=3,K177&gt;$N$3),$N$3,K177),-2)</f>
        <v>1206500</v>
      </c>
      <c r="O177" s="166">
        <f>ROUND(IF(G177="A+",(N177*100%+L177-M177+200000),IF(G177="A",(N177*100%+L177-M177),IF(G177="B",(N177*80%+L177-M177),(N177*60%+L177-M177)))),-2)</f>
        <v>1206500</v>
      </c>
      <c r="P177" s="166">
        <f>O177</f>
        <v>1206500</v>
      </c>
      <c r="Q177" s="224"/>
    </row>
    <row r="178" spans="1:17" s="63" customFormat="1" ht="19.5" customHeight="1">
      <c r="A178" s="187">
        <v>3</v>
      </c>
      <c r="B178" s="169" t="s">
        <v>380</v>
      </c>
      <c r="C178" s="170"/>
      <c r="D178" s="171">
        <v>1.65</v>
      </c>
      <c r="E178" s="172" t="s">
        <v>25</v>
      </c>
      <c r="F178" s="173">
        <f>IF(E178="ĐH",300000,IF(E178="CĐ",300000,200000))</f>
        <v>200000</v>
      </c>
      <c r="G178" s="174" t="s">
        <v>20</v>
      </c>
      <c r="H178" s="171"/>
      <c r="I178" s="175"/>
      <c r="J178" s="176">
        <f>D178+H178+I178*D178</f>
        <v>1.65</v>
      </c>
      <c r="K178" s="173">
        <f>ROUND(IF(AND(E178="ĐH",J178&lt;=3),$K$3*J178+300000,IF(AND(E178="CĐ",J178&lt;=3),J178*$K$3+300000,IF(AND(E178="K",J178&lt;=3),J178*$K$3+200000,J178*$K$3))),-2)</f>
        <v>1206500</v>
      </c>
      <c r="L178" s="177"/>
      <c r="M178" s="177"/>
      <c r="N178" s="173">
        <f>ROUND(IF(AND(J178&lt;=3,K178&gt;$N$3),$N$3,K178),-2)</f>
        <v>1206500</v>
      </c>
      <c r="O178" s="173">
        <f>ROUND(IF(G178="A+",(N178*100%+L178-M178+200000),IF(G178="A",(N178*100%+L178-M178),IF(G178="B",(N178*80%+L178-M178),(N178*60%+L178-M178)))),-2)</f>
        <v>1206500</v>
      </c>
      <c r="P178" s="173">
        <f>O178</f>
        <v>1206500</v>
      </c>
      <c r="Q178" s="227"/>
    </row>
    <row r="179" spans="1:17" s="63" customFormat="1" ht="19.5" customHeight="1">
      <c r="A179" s="188">
        <f>COUNT(A176:A178)</f>
        <v>3</v>
      </c>
      <c r="B179" s="67" t="s">
        <v>43</v>
      </c>
      <c r="C179" s="38"/>
      <c r="D179" s="38">
        <f>SUM(D176:D178)</f>
        <v>5.289999999999999</v>
      </c>
      <c r="E179" s="38">
        <f aca="true" t="shared" si="101" ref="E179:P179">SUM(E176:E178)</f>
        <v>0</v>
      </c>
      <c r="F179" s="64">
        <f t="shared" si="101"/>
        <v>700000</v>
      </c>
      <c r="G179" s="38">
        <f t="shared" si="101"/>
        <v>0</v>
      </c>
      <c r="H179" s="38">
        <f t="shared" si="101"/>
        <v>0</v>
      </c>
      <c r="I179" s="38">
        <f t="shared" si="101"/>
        <v>0</v>
      </c>
      <c r="J179" s="38">
        <f t="shared" si="101"/>
        <v>5.289999999999999</v>
      </c>
      <c r="K179" s="64">
        <f t="shared" si="101"/>
        <v>3926900</v>
      </c>
      <c r="L179" s="64">
        <f t="shared" si="101"/>
        <v>0</v>
      </c>
      <c r="M179" s="64">
        <f t="shared" si="101"/>
        <v>0</v>
      </c>
      <c r="N179" s="64">
        <f t="shared" si="101"/>
        <v>3926900</v>
      </c>
      <c r="O179" s="64">
        <f t="shared" si="101"/>
        <v>3926900</v>
      </c>
      <c r="P179" s="64">
        <f t="shared" si="101"/>
        <v>3926900</v>
      </c>
      <c r="Q179" s="216"/>
    </row>
    <row r="180" spans="1:17" s="63" customFormat="1" ht="19.5" customHeight="1" thickBot="1">
      <c r="A180" s="189">
        <f>A22+A30+A39+A52+A63+A75+A83+A92+A103+A119+A130+A141+A151+A166+A174+A179</f>
        <v>140</v>
      </c>
      <c r="B180" s="190" t="s">
        <v>191</v>
      </c>
      <c r="C180" s="191"/>
      <c r="D180" s="192">
        <f>D22+D30+D39+D52+D63+D75+D83+D92+D103+D119+D130+D141+D151+D166+D174+D179</f>
        <v>434.122</v>
      </c>
      <c r="E180" s="192">
        <f aca="true" t="shared" si="102" ref="E180:P180">E22+E30+E39+E52+E63+E75+E83+E92+E103+E119+E130+E141+E151+E166+E174+E179</f>
        <v>0</v>
      </c>
      <c r="F180" s="193">
        <f t="shared" si="102"/>
        <v>34300000</v>
      </c>
      <c r="G180" s="192">
        <f t="shared" si="102"/>
        <v>0</v>
      </c>
      <c r="H180" s="192">
        <f t="shared" si="102"/>
        <v>13.999999999999996</v>
      </c>
      <c r="I180" s="192">
        <f t="shared" si="102"/>
        <v>0.8700000000000001</v>
      </c>
      <c r="J180" s="192">
        <f t="shared" si="102"/>
        <v>456.038</v>
      </c>
      <c r="K180" s="192">
        <f t="shared" si="102"/>
        <v>292576400</v>
      </c>
      <c r="L180" s="193">
        <f t="shared" si="102"/>
        <v>6680000</v>
      </c>
      <c r="M180" s="192">
        <f t="shared" si="102"/>
        <v>0</v>
      </c>
      <c r="N180" s="193">
        <f t="shared" si="102"/>
        <v>288924900</v>
      </c>
      <c r="O180" s="193">
        <f t="shared" si="102"/>
        <v>296200300</v>
      </c>
      <c r="P180" s="193">
        <f t="shared" si="102"/>
        <v>286826500</v>
      </c>
      <c r="Q180" s="228"/>
    </row>
    <row r="181" spans="1:17" s="63" customFormat="1" ht="27.75" customHeight="1" thickTop="1">
      <c r="A181" s="102"/>
      <c r="B181" s="103" t="s">
        <v>221</v>
      </c>
      <c r="C181" s="257" t="str">
        <f>[1]!VND('TNTTQUY II - 2016'!P180,TRUE,1,"đồng","xu")</f>
        <v>Hai trăm tám mươi sáu triệu, tám trăm hai mươi sáu ngàn, năm trăm đồng</v>
      </c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</row>
    <row r="182" spans="1:17" s="85" customFormat="1" ht="98.25" customHeight="1">
      <c r="A182" s="254" t="s">
        <v>410</v>
      </c>
      <c r="B182" s="254"/>
      <c r="C182" s="254"/>
      <c r="D182" s="254"/>
      <c r="E182" s="254"/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</row>
    <row r="183" spans="1:17" s="98" customFormat="1" ht="18.75">
      <c r="A183" s="31"/>
      <c r="B183" s="200"/>
      <c r="C183" s="200"/>
      <c r="D183" s="201"/>
      <c r="E183" s="202"/>
      <c r="F183" s="201"/>
      <c r="G183" s="202"/>
      <c r="I183" s="210"/>
      <c r="J183" s="210"/>
      <c r="K183" s="210"/>
      <c r="L183" s="210"/>
      <c r="M183" s="210"/>
      <c r="N183" s="210"/>
      <c r="O183" s="210"/>
      <c r="P183" s="210"/>
      <c r="Q183" s="204" t="s">
        <v>400</v>
      </c>
    </row>
    <row r="184" spans="2:17" s="98" customFormat="1" ht="18.75">
      <c r="B184" s="260" t="s">
        <v>409</v>
      </c>
      <c r="C184" s="260"/>
      <c r="D184" s="260"/>
      <c r="E184" s="260"/>
      <c r="F184" s="260"/>
      <c r="G184" s="260"/>
      <c r="H184" s="259" t="s">
        <v>192</v>
      </c>
      <c r="I184" s="259"/>
      <c r="J184" s="259"/>
      <c r="K184" s="259"/>
      <c r="L184" s="259"/>
      <c r="M184" s="259"/>
      <c r="N184" s="259"/>
      <c r="O184" s="259"/>
      <c r="P184" s="259"/>
      <c r="Q184" s="203" t="s">
        <v>193</v>
      </c>
    </row>
    <row r="185" ht="16.5">
      <c r="J185" s="30"/>
    </row>
    <row r="190" spans="2:7" ht="24" customHeight="1">
      <c r="B190" s="261" t="s">
        <v>223</v>
      </c>
      <c r="C190" s="261"/>
      <c r="D190" s="261"/>
      <c r="E190" s="261"/>
      <c r="F190" s="261"/>
      <c r="G190" s="261"/>
    </row>
    <row r="191" spans="15:17" ht="16.5">
      <c r="O191" s="3"/>
      <c r="P191" s="3"/>
      <c r="Q191" s="153"/>
    </row>
    <row r="198" spans="1:17" ht="15">
      <c r="A198" s="74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154"/>
    </row>
    <row r="199" spans="1:17" ht="15">
      <c r="A199" s="74"/>
      <c r="B199" s="74"/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154"/>
    </row>
    <row r="200" spans="1:17" ht="15">
      <c r="A200" s="74"/>
      <c r="B200" s="74"/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154"/>
    </row>
    <row r="201" spans="1:17" ht="15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154"/>
    </row>
    <row r="202" spans="1:17" ht="15">
      <c r="A202" s="74"/>
      <c r="B202" s="74"/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154"/>
    </row>
    <row r="203" spans="1:17" ht="15">
      <c r="A203" s="74"/>
      <c r="B203" s="74"/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154"/>
    </row>
    <row r="204" spans="1:17" ht="15">
      <c r="A204" s="74"/>
      <c r="B204" s="74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154"/>
    </row>
    <row r="205" spans="1:17" ht="15">
      <c r="A205" s="74"/>
      <c r="B205" s="74"/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154"/>
    </row>
    <row r="206" spans="1:17" ht="15">
      <c r="A206" s="74"/>
      <c r="B206" s="74"/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154"/>
    </row>
    <row r="207" spans="1:17" ht="15">
      <c r="A207" s="74"/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154"/>
    </row>
    <row r="208" spans="1:17" ht="15">
      <c r="A208" s="74"/>
      <c r="B208" s="74"/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154"/>
    </row>
    <row r="209" spans="1:17" ht="15">
      <c r="A209" s="74"/>
      <c r="B209" s="74"/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154"/>
    </row>
    <row r="210" spans="1:17" ht="15">
      <c r="A210" s="7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154"/>
    </row>
    <row r="211" spans="1:17" ht="15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154"/>
    </row>
    <row r="212" spans="1:17" ht="15">
      <c r="A212" s="74"/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154"/>
    </row>
    <row r="213" spans="1:17" ht="15">
      <c r="A213" s="74"/>
      <c r="B213" s="74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154"/>
    </row>
    <row r="214" spans="1:17" ht="15">
      <c r="A214" s="74"/>
      <c r="B214" s="74"/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154"/>
    </row>
    <row r="215" spans="1:17" ht="15">
      <c r="A215" s="74"/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154"/>
    </row>
    <row r="216" spans="1:17" ht="15">
      <c r="A216" s="74"/>
      <c r="B216" s="74"/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154"/>
    </row>
    <row r="217" spans="1:17" ht="15">
      <c r="A217" s="74"/>
      <c r="B217" s="74"/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154"/>
    </row>
    <row r="218" spans="1:17" ht="15">
      <c r="A218" s="74"/>
      <c r="B218" s="74"/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154"/>
    </row>
    <row r="219" spans="1:17" ht="15">
      <c r="A219" s="74"/>
      <c r="B219" s="74"/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154"/>
    </row>
    <row r="220" spans="1:17" ht="15">
      <c r="A220" s="74"/>
      <c r="B220" s="74"/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154"/>
    </row>
    <row r="221" spans="1:17" ht="15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154"/>
    </row>
    <row r="222" spans="1:17" ht="15">
      <c r="A222" s="74"/>
      <c r="B222" s="74"/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154"/>
    </row>
    <row r="223" spans="1:17" ht="15">
      <c r="A223" s="74"/>
      <c r="B223" s="74"/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154"/>
    </row>
    <row r="224" spans="1:17" ht="15">
      <c r="A224" s="74"/>
      <c r="B224" s="74"/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154"/>
    </row>
    <row r="225" spans="1:17" ht="15">
      <c r="A225" s="74"/>
      <c r="B225" s="74"/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154"/>
    </row>
    <row r="226" spans="1:17" ht="15">
      <c r="A226" s="74"/>
      <c r="B226" s="74"/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154"/>
    </row>
    <row r="227" spans="1:17" ht="15">
      <c r="A227" s="74"/>
      <c r="B227" s="74"/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154"/>
    </row>
    <row r="228" spans="1:17" ht="15">
      <c r="A228" s="74"/>
      <c r="B228" s="74"/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154"/>
    </row>
    <row r="229" spans="1:17" ht="15">
      <c r="A229" s="74"/>
      <c r="B229" s="74"/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154"/>
    </row>
    <row r="230" spans="1:17" ht="15">
      <c r="A230" s="74"/>
      <c r="B230" s="74"/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154"/>
    </row>
    <row r="231" spans="1:17" ht="15">
      <c r="A231" s="74"/>
      <c r="B231" s="74"/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154"/>
    </row>
    <row r="232" spans="1:17" ht="15">
      <c r="A232" s="74"/>
      <c r="B232" s="74"/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154"/>
    </row>
    <row r="233" spans="1:17" ht="15">
      <c r="A233" s="74"/>
      <c r="B233" s="74"/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154"/>
    </row>
    <row r="234" spans="1:17" ht="15">
      <c r="A234" s="74"/>
      <c r="B234" s="74"/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154"/>
    </row>
    <row r="235" spans="1:17" ht="15">
      <c r="A235" s="74"/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154"/>
    </row>
    <row r="236" spans="1:17" ht="15">
      <c r="A236" s="74"/>
      <c r="B236" s="74"/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154"/>
    </row>
    <row r="237" spans="1:17" ht="15">
      <c r="A237" s="74"/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154"/>
    </row>
    <row r="238" spans="1:17" ht="15">
      <c r="A238" s="74"/>
      <c r="B238" s="74"/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154"/>
    </row>
    <row r="239" spans="1:17" ht="15">
      <c r="A239" s="74"/>
      <c r="B239" s="74"/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154"/>
    </row>
    <row r="240" spans="1:17" ht="15">
      <c r="A240" s="74"/>
      <c r="B240" s="74"/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154"/>
    </row>
    <row r="241" spans="1:17" ht="15">
      <c r="A241" s="74"/>
      <c r="B241" s="74"/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154"/>
    </row>
    <row r="242" spans="1:17" ht="15">
      <c r="A242" s="74"/>
      <c r="B242" s="74"/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154"/>
    </row>
    <row r="243" spans="1:17" ht="15">
      <c r="A243" s="74"/>
      <c r="B243" s="74"/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154"/>
    </row>
    <row r="244" spans="1:17" ht="15">
      <c r="A244" s="74"/>
      <c r="B244" s="74"/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154"/>
    </row>
    <row r="245" spans="1:17" ht="15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154"/>
    </row>
    <row r="246" spans="1:17" ht="15">
      <c r="A246" s="74"/>
      <c r="B246" s="74"/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154"/>
    </row>
    <row r="247" spans="1:17" ht="15">
      <c r="A247" s="74"/>
      <c r="B247" s="74"/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154"/>
    </row>
    <row r="248" spans="1:17" ht="15">
      <c r="A248" s="74"/>
      <c r="B248" s="74"/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154"/>
    </row>
    <row r="249" spans="1:17" ht="15">
      <c r="A249" s="74"/>
      <c r="B249" s="74"/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154"/>
    </row>
    <row r="250" spans="1:17" ht="15">
      <c r="A250" s="74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154"/>
    </row>
    <row r="251" spans="1:17" ht="15">
      <c r="A251" s="74"/>
      <c r="B251" s="74"/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154"/>
    </row>
    <row r="252" spans="1:17" ht="15">
      <c r="A252" s="74"/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154"/>
    </row>
    <row r="253" spans="1:17" ht="15">
      <c r="A253" s="74"/>
      <c r="B253" s="74"/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154"/>
    </row>
    <row r="254" spans="1:17" ht="15">
      <c r="A254" s="74"/>
      <c r="B254" s="74"/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154"/>
    </row>
    <row r="255" spans="1:17" ht="15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154"/>
    </row>
    <row r="256" spans="1:17" ht="15">
      <c r="A256" s="74"/>
      <c r="B256" s="74"/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154"/>
    </row>
    <row r="257" spans="1:17" ht="15">
      <c r="A257" s="74"/>
      <c r="B257" s="74"/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154"/>
    </row>
    <row r="258" spans="1:17" ht="15">
      <c r="A258" s="74"/>
      <c r="B258" s="74"/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154"/>
    </row>
    <row r="259" spans="1:17" ht="15">
      <c r="A259" s="74"/>
      <c r="B259" s="74"/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154"/>
    </row>
    <row r="260" spans="1:17" ht="15">
      <c r="A260" s="74"/>
      <c r="B260" s="74"/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154"/>
    </row>
    <row r="261" spans="1:17" ht="15">
      <c r="A261" s="74"/>
      <c r="B261" s="74"/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154"/>
    </row>
    <row r="262" spans="1:17" ht="15">
      <c r="A262" s="74"/>
      <c r="B262" s="74"/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154"/>
    </row>
    <row r="263" spans="1:17" ht="15">
      <c r="A263" s="74"/>
      <c r="B263" s="74"/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154"/>
    </row>
    <row r="264" spans="1:17" ht="15">
      <c r="A264" s="74"/>
      <c r="B264" s="74"/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154"/>
    </row>
    <row r="265" spans="1:17" ht="15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154"/>
    </row>
    <row r="266" spans="1:17" ht="15">
      <c r="A266" s="74"/>
      <c r="B266" s="74"/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154"/>
    </row>
    <row r="267" spans="1:17" ht="15">
      <c r="A267" s="74"/>
      <c r="B267" s="74"/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154"/>
    </row>
    <row r="268" spans="1:17" ht="15">
      <c r="A268" s="74"/>
      <c r="B268" s="74"/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154"/>
    </row>
    <row r="269" spans="1:17" ht="15">
      <c r="A269" s="74"/>
      <c r="B269" s="74"/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154"/>
    </row>
    <row r="270" spans="1:17" ht="15">
      <c r="A270" s="74"/>
      <c r="B270" s="74"/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154"/>
    </row>
    <row r="271" spans="1:17" ht="15">
      <c r="A271" s="74"/>
      <c r="B271" s="74"/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154"/>
    </row>
    <row r="272" spans="1:17" ht="15">
      <c r="A272" s="74"/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154"/>
    </row>
    <row r="273" spans="1:17" ht="15">
      <c r="A273" s="74"/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154"/>
    </row>
    <row r="274" spans="1:17" ht="15">
      <c r="A274" s="74"/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154"/>
    </row>
    <row r="275" spans="1:17" ht="15">
      <c r="A275" s="74"/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154"/>
    </row>
    <row r="276" spans="1:17" ht="15">
      <c r="A276" s="74"/>
      <c r="B276" s="74"/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154"/>
    </row>
    <row r="277" spans="1:17" ht="15">
      <c r="A277" s="74"/>
      <c r="B277" s="74"/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154"/>
    </row>
    <row r="278" spans="1:17" ht="15">
      <c r="A278" s="74"/>
      <c r="B278" s="74"/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154"/>
    </row>
    <row r="279" spans="1:17" ht="15">
      <c r="A279" s="74"/>
      <c r="B279" s="74"/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154"/>
    </row>
    <row r="280" spans="1:17" ht="15">
      <c r="A280" s="74"/>
      <c r="B280" s="74"/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154"/>
    </row>
    <row r="281" spans="1:17" ht="15">
      <c r="A281" s="74"/>
      <c r="B281" s="74"/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154"/>
    </row>
    <row r="282" spans="1:17" ht="15">
      <c r="A282" s="74"/>
      <c r="B282" s="74"/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154"/>
    </row>
    <row r="283" spans="1:17" ht="15">
      <c r="A283" s="74"/>
      <c r="B283" s="74"/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154"/>
    </row>
  </sheetData>
  <sheetProtection/>
  <mergeCells count="40">
    <mergeCell ref="B190:G190"/>
    <mergeCell ref="B93:Q93"/>
    <mergeCell ref="B104:Q104"/>
    <mergeCell ref="D5:D6"/>
    <mergeCell ref="B64:Q64"/>
    <mergeCell ref="E5:E6"/>
    <mergeCell ref="B8:Q8"/>
    <mergeCell ref="B76:Q76"/>
    <mergeCell ref="B167:Q167"/>
    <mergeCell ref="B53:Q53"/>
    <mergeCell ref="B120:Q120"/>
    <mergeCell ref="B131:Q131"/>
    <mergeCell ref="H184:P184"/>
    <mergeCell ref="B184:G184"/>
    <mergeCell ref="P5:P6"/>
    <mergeCell ref="B84:Q84"/>
    <mergeCell ref="B31:Q31"/>
    <mergeCell ref="B23:Q23"/>
    <mergeCell ref="B40:Q40"/>
    <mergeCell ref="B152:Q152"/>
    <mergeCell ref="G5:G6"/>
    <mergeCell ref="B142:Q142"/>
    <mergeCell ref="A182:Q182"/>
    <mergeCell ref="B175:Q175"/>
    <mergeCell ref="C181:Q181"/>
    <mergeCell ref="N5:N6"/>
    <mergeCell ref="J5:J6"/>
    <mergeCell ref="L5:L6"/>
    <mergeCell ref="K5:K6"/>
    <mergeCell ref="F5:F6"/>
    <mergeCell ref="H5:I5"/>
    <mergeCell ref="Q5:Q6"/>
    <mergeCell ref="A1:D1"/>
    <mergeCell ref="A2:Q2"/>
    <mergeCell ref="A3:I3"/>
    <mergeCell ref="A5:A6"/>
    <mergeCell ref="B5:B6"/>
    <mergeCell ref="O5:O6"/>
    <mergeCell ref="M5:M6"/>
    <mergeCell ref="C5:C6"/>
  </mergeCells>
  <printOptions/>
  <pageMargins left="0.5" right="0.45" top="0.63" bottom="0.65" header="0.65" footer="0.62"/>
  <pageSetup horizontalDpi="600" verticalDpi="600" orientation="landscape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2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6.00390625" style="28" customWidth="1"/>
    <col min="2" max="2" width="22.00390625" style="28" customWidth="1"/>
    <col min="3" max="3" width="20.57421875" style="28" customWidth="1"/>
    <col min="4" max="4" width="2.57421875" style="28" hidden="1" customWidth="1"/>
    <col min="5" max="5" width="20.421875" style="28" customWidth="1"/>
    <col min="6" max="6" width="25.00390625" style="28" customWidth="1"/>
    <col min="7" max="7" width="18.28125" style="0" hidden="1" customWidth="1"/>
    <col min="8" max="8" width="0" style="0" hidden="1" customWidth="1"/>
    <col min="11" max="11" width="11.140625" style="0" bestFit="1" customWidth="1"/>
  </cols>
  <sheetData>
    <row r="1" spans="1:6" ht="15" customHeight="1">
      <c r="A1" s="276" t="s">
        <v>368</v>
      </c>
      <c r="B1" s="276"/>
      <c r="C1" s="276"/>
      <c r="D1" s="29"/>
      <c r="E1" s="29"/>
      <c r="F1" s="29"/>
    </row>
    <row r="2" spans="1:6" ht="15" customHeight="1">
      <c r="A2" s="276" t="s">
        <v>369</v>
      </c>
      <c r="B2" s="276"/>
      <c r="C2" s="276"/>
      <c r="D2" s="29"/>
      <c r="E2" s="29"/>
      <c r="F2" s="29"/>
    </row>
    <row r="3" spans="1:6" ht="58.5" customHeight="1">
      <c r="A3" s="266" t="s">
        <v>421</v>
      </c>
      <c r="B3" s="267"/>
      <c r="C3" s="267"/>
      <c r="D3" s="267"/>
      <c r="E3" s="267"/>
      <c r="F3" s="267"/>
    </row>
    <row r="4" spans="1:6" ht="20.25" customHeight="1">
      <c r="A4" s="273" t="s">
        <v>370</v>
      </c>
      <c r="B4" s="273"/>
      <c r="C4" s="273"/>
      <c r="D4" s="273"/>
      <c r="E4" s="273"/>
      <c r="F4" s="273"/>
    </row>
    <row r="5" spans="1:6" ht="20.25" customHeight="1">
      <c r="A5" s="273" t="s">
        <v>371</v>
      </c>
      <c r="B5" s="273"/>
      <c r="C5" s="273"/>
      <c r="D5" s="273"/>
      <c r="E5" s="273"/>
      <c r="F5" s="273"/>
    </row>
    <row r="6" spans="1:6" ht="17.25" thickBot="1">
      <c r="A6" s="6"/>
      <c r="B6" s="6"/>
      <c r="C6" s="6"/>
      <c r="D6" s="6"/>
      <c r="E6" s="6"/>
      <c r="F6" s="6"/>
    </row>
    <row r="7" spans="1:6" ht="17.25" thickTop="1">
      <c r="A7" s="268" t="s">
        <v>2</v>
      </c>
      <c r="B7" s="270" t="s">
        <v>3</v>
      </c>
      <c r="C7" s="270" t="s">
        <v>194</v>
      </c>
      <c r="D7" s="231"/>
      <c r="E7" s="270" t="s">
        <v>372</v>
      </c>
      <c r="F7" s="274" t="s">
        <v>195</v>
      </c>
    </row>
    <row r="8" spans="1:6" ht="16.5">
      <c r="A8" s="269"/>
      <c r="B8" s="271"/>
      <c r="C8" s="271"/>
      <c r="D8" s="235"/>
      <c r="E8" s="271"/>
      <c r="F8" s="275"/>
    </row>
    <row r="9" spans="1:8" ht="15.75">
      <c r="A9" s="233">
        <v>1</v>
      </c>
      <c r="B9" s="11" t="s">
        <v>17</v>
      </c>
      <c r="C9" s="234" t="s">
        <v>228</v>
      </c>
      <c r="D9" s="35" t="s">
        <v>17</v>
      </c>
      <c r="E9" s="9">
        <f>'TNTTQUY II - 2016'!P9</f>
        <v>2986600</v>
      </c>
      <c r="F9" s="10"/>
      <c r="G9" s="54" t="e">
        <f>#REF!</f>
        <v>#REF!</v>
      </c>
      <c r="H9" s="55" t="e">
        <f aca="true" t="shared" si="0" ref="H9:H31">E9-G9</f>
        <v>#REF!</v>
      </c>
    </row>
    <row r="10" spans="1:8" ht="15.75">
      <c r="A10" s="7">
        <v>2</v>
      </c>
      <c r="B10" s="11" t="s">
        <v>21</v>
      </c>
      <c r="C10" s="68" t="s">
        <v>229</v>
      </c>
      <c r="D10" s="36" t="s">
        <v>21</v>
      </c>
      <c r="E10" s="9">
        <f>'TNTTQUY II - 2016'!P10</f>
        <v>3140200</v>
      </c>
      <c r="F10" s="10"/>
      <c r="G10" s="54" t="e">
        <f>#REF!</f>
        <v>#REF!</v>
      </c>
      <c r="H10" s="55" t="e">
        <f t="shared" si="0"/>
        <v>#REF!</v>
      </c>
    </row>
    <row r="11" spans="1:8" ht="15.75">
      <c r="A11" s="7">
        <v>3</v>
      </c>
      <c r="B11" s="8" t="s">
        <v>85</v>
      </c>
      <c r="C11" s="68" t="s">
        <v>230</v>
      </c>
      <c r="D11" s="36" t="s">
        <v>85</v>
      </c>
      <c r="E11" s="9">
        <f>'TNTTQUY II - 2016'!P11</f>
        <v>2744200</v>
      </c>
      <c r="F11" s="18"/>
      <c r="G11" s="54" t="e">
        <f>#REF!</f>
        <v>#REF!</v>
      </c>
      <c r="H11" s="55" t="e">
        <f t="shared" si="0"/>
        <v>#REF!</v>
      </c>
    </row>
    <row r="12" spans="1:8" ht="15.75">
      <c r="A12" s="7">
        <v>4</v>
      </c>
      <c r="B12" s="8" t="s">
        <v>39</v>
      </c>
      <c r="C12" s="68" t="s">
        <v>231</v>
      </c>
      <c r="D12" s="36" t="s">
        <v>39</v>
      </c>
      <c r="E12" s="9">
        <f>'TNTTQUY II - 2016'!P12</f>
        <v>3080500</v>
      </c>
      <c r="F12" s="14"/>
      <c r="G12" s="54" t="e">
        <f>#REF!</f>
        <v>#REF!</v>
      </c>
      <c r="H12" s="55" t="e">
        <f t="shared" si="0"/>
        <v>#REF!</v>
      </c>
    </row>
    <row r="13" spans="1:8" ht="15.75">
      <c r="A13" s="7">
        <v>5</v>
      </c>
      <c r="B13" s="8" t="s">
        <v>23</v>
      </c>
      <c r="C13" s="68" t="s">
        <v>232</v>
      </c>
      <c r="D13" s="49" t="s">
        <v>23</v>
      </c>
      <c r="E13" s="9">
        <f>'TNTTQUY II - 2016'!P13</f>
        <v>2674700</v>
      </c>
      <c r="F13" s="10"/>
      <c r="G13" s="54" t="e">
        <f>#REF!</f>
        <v>#REF!</v>
      </c>
      <c r="H13" s="55" t="e">
        <f t="shared" si="0"/>
        <v>#REF!</v>
      </c>
    </row>
    <row r="14" spans="1:8" ht="15.75">
      <c r="A14" s="7">
        <v>6</v>
      </c>
      <c r="B14" s="12" t="s">
        <v>26</v>
      </c>
      <c r="C14" s="68" t="s">
        <v>233</v>
      </c>
      <c r="D14" s="36" t="s">
        <v>26</v>
      </c>
      <c r="E14" s="9">
        <f>'TNTTQUY II - 2016'!P14</f>
        <v>1848300</v>
      </c>
      <c r="F14" s="10"/>
      <c r="G14" s="54" t="e">
        <f>#REF!</f>
        <v>#REF!</v>
      </c>
      <c r="H14" s="55" t="e">
        <f t="shared" si="0"/>
        <v>#REF!</v>
      </c>
    </row>
    <row r="15" spans="1:8" ht="15.75">
      <c r="A15" s="7">
        <v>7</v>
      </c>
      <c r="B15" s="8" t="s">
        <v>29</v>
      </c>
      <c r="C15" s="68" t="s">
        <v>234</v>
      </c>
      <c r="D15" s="36" t="s">
        <v>29</v>
      </c>
      <c r="E15" s="9">
        <f>'TNTTQUY II - 2016'!P15</f>
        <v>2348500</v>
      </c>
      <c r="F15" s="10"/>
      <c r="G15" s="54" t="e">
        <f>#REF!</f>
        <v>#REF!</v>
      </c>
      <c r="H15" s="55" t="e">
        <f t="shared" si="0"/>
        <v>#REF!</v>
      </c>
    </row>
    <row r="16" spans="1:8" ht="15.75">
      <c r="A16" s="7">
        <v>8</v>
      </c>
      <c r="B16" s="8" t="s">
        <v>31</v>
      </c>
      <c r="C16" s="68" t="s">
        <v>235</v>
      </c>
      <c r="D16" s="36" t="s">
        <v>31</v>
      </c>
      <c r="E16" s="9">
        <f>'TNTTQUY II - 2016'!P16</f>
        <v>2019100</v>
      </c>
      <c r="F16" s="10"/>
      <c r="G16" s="54" t="e">
        <f>#REF!</f>
        <v>#REF!</v>
      </c>
      <c r="H16" s="55" t="e">
        <f t="shared" si="0"/>
        <v>#REF!</v>
      </c>
    </row>
    <row r="17" spans="1:8" ht="15.75">
      <c r="A17" s="7">
        <v>9</v>
      </c>
      <c r="B17" s="8" t="s">
        <v>33</v>
      </c>
      <c r="C17" s="68" t="s">
        <v>236</v>
      </c>
      <c r="D17" s="36" t="s">
        <v>33</v>
      </c>
      <c r="E17" s="9">
        <f>'TNTTQUY II - 2016'!P17</f>
        <v>1773800</v>
      </c>
      <c r="F17" s="10"/>
      <c r="G17" s="54" t="e">
        <f>#REF!</f>
        <v>#REF!</v>
      </c>
      <c r="H17" s="55" t="e">
        <f t="shared" si="0"/>
        <v>#REF!</v>
      </c>
    </row>
    <row r="18" spans="1:8" ht="15.75">
      <c r="A18" s="7">
        <v>10</v>
      </c>
      <c r="B18" s="12" t="s">
        <v>35</v>
      </c>
      <c r="C18" s="68" t="s">
        <v>237</v>
      </c>
      <c r="D18" s="49" t="s">
        <v>35</v>
      </c>
      <c r="E18" s="9">
        <f>'TNTTQUY II - 2016'!P18</f>
        <v>1645700</v>
      </c>
      <c r="F18" s="10"/>
      <c r="G18" s="54" t="e">
        <f>#REF!</f>
        <v>#REF!</v>
      </c>
      <c r="H18" s="55" t="e">
        <f t="shared" si="0"/>
        <v>#REF!</v>
      </c>
    </row>
    <row r="19" spans="1:8" ht="15.75">
      <c r="A19" s="7">
        <v>11</v>
      </c>
      <c r="B19" s="12" t="s">
        <v>37</v>
      </c>
      <c r="C19" s="68" t="s">
        <v>238</v>
      </c>
      <c r="D19" s="36" t="s">
        <v>37</v>
      </c>
      <c r="E19" s="9">
        <f>'TNTTQUY II - 2016'!P19</f>
        <v>2213000</v>
      </c>
      <c r="F19" s="60"/>
      <c r="G19" s="54" t="e">
        <f>#REF!</f>
        <v>#REF!</v>
      </c>
      <c r="H19" s="55" t="e">
        <f t="shared" si="0"/>
        <v>#REF!</v>
      </c>
    </row>
    <row r="20" spans="1:8" ht="15.75">
      <c r="A20" s="7">
        <v>12</v>
      </c>
      <c r="B20" s="8" t="s">
        <v>211</v>
      </c>
      <c r="C20" s="68" t="s">
        <v>239</v>
      </c>
      <c r="D20" s="37" t="s">
        <v>211</v>
      </c>
      <c r="E20" s="9">
        <f>'TNTTQUY II - 2016'!P20</f>
        <v>1416300</v>
      </c>
      <c r="F20" s="61"/>
      <c r="G20" s="54" t="e">
        <f>#REF!</f>
        <v>#REF!</v>
      </c>
      <c r="H20" s="55" t="e">
        <f t="shared" si="0"/>
        <v>#REF!</v>
      </c>
    </row>
    <row r="21" spans="1:8" ht="15.75">
      <c r="A21" s="7">
        <v>13</v>
      </c>
      <c r="B21" s="8" t="s">
        <v>41</v>
      </c>
      <c r="C21" s="68" t="s">
        <v>240</v>
      </c>
      <c r="D21" s="58" t="s">
        <v>41</v>
      </c>
      <c r="E21" s="9">
        <f>'TNTTQUY II - 2016'!P21</f>
        <v>1481000</v>
      </c>
      <c r="F21" s="10"/>
      <c r="G21" s="54" t="e">
        <f>#REF!</f>
        <v>#REF!</v>
      </c>
      <c r="H21" s="55" t="e">
        <f t="shared" si="0"/>
        <v>#REF!</v>
      </c>
    </row>
    <row r="22" spans="1:8" ht="15.75">
      <c r="A22" s="7">
        <v>14</v>
      </c>
      <c r="B22" s="11" t="s">
        <v>46</v>
      </c>
      <c r="C22" s="68" t="s">
        <v>241</v>
      </c>
      <c r="D22" s="35" t="s">
        <v>46</v>
      </c>
      <c r="E22" s="9">
        <f>'TNTTQUY II - 2016'!P24</f>
        <v>3481800</v>
      </c>
      <c r="F22" s="10"/>
      <c r="G22" s="54" t="e">
        <f>#REF!</f>
        <v>#REF!</v>
      </c>
      <c r="H22" s="55" t="e">
        <f t="shared" si="0"/>
        <v>#REF!</v>
      </c>
    </row>
    <row r="23" spans="1:8" ht="15.75">
      <c r="A23" s="7">
        <v>15</v>
      </c>
      <c r="B23" s="8" t="s">
        <v>49</v>
      </c>
      <c r="C23" s="68" t="s">
        <v>242</v>
      </c>
      <c r="D23" s="36" t="s">
        <v>49</v>
      </c>
      <c r="E23" s="9">
        <f>'TNTTQUY II - 2016'!P25</f>
        <v>2232600</v>
      </c>
      <c r="F23" s="10"/>
      <c r="G23" s="54" t="e">
        <f>#REF!</f>
        <v>#REF!</v>
      </c>
      <c r="H23" s="55" t="e">
        <f t="shared" si="0"/>
        <v>#REF!</v>
      </c>
    </row>
    <row r="24" spans="1:8" ht="15.75">
      <c r="A24" s="7">
        <v>16</v>
      </c>
      <c r="B24" s="8" t="s">
        <v>51</v>
      </c>
      <c r="C24" s="68" t="s">
        <v>243</v>
      </c>
      <c r="D24" s="36" t="s">
        <v>51</v>
      </c>
      <c r="E24" s="9">
        <f>'TNTTQUY II - 2016'!P26</f>
        <v>2031300</v>
      </c>
      <c r="F24" s="14"/>
      <c r="G24" s="54" t="e">
        <f>#REF!</f>
        <v>#REF!</v>
      </c>
      <c r="H24" s="55" t="e">
        <f t="shared" si="0"/>
        <v>#REF!</v>
      </c>
    </row>
    <row r="25" spans="1:8" ht="15.75">
      <c r="A25" s="7">
        <v>17</v>
      </c>
      <c r="B25" s="8" t="s">
        <v>53</v>
      </c>
      <c r="C25" s="68" t="s">
        <v>244</v>
      </c>
      <c r="D25" s="49" t="s">
        <v>53</v>
      </c>
      <c r="E25" s="9">
        <f>'TNTTQUY II - 2016'!P27</f>
        <v>1700600</v>
      </c>
      <c r="F25" s="13"/>
      <c r="G25" s="54" t="e">
        <f>#REF!</f>
        <v>#REF!</v>
      </c>
      <c r="H25" s="55" t="e">
        <f t="shared" si="0"/>
        <v>#REF!</v>
      </c>
    </row>
    <row r="26" spans="1:8" ht="15.75">
      <c r="A26" s="7">
        <v>18</v>
      </c>
      <c r="B26" s="8" t="s">
        <v>54</v>
      </c>
      <c r="C26" s="68" t="s">
        <v>245</v>
      </c>
      <c r="D26" s="36" t="s">
        <v>54</v>
      </c>
      <c r="E26" s="9">
        <f>'TNTTQUY II - 2016'!P28</f>
        <v>1830000</v>
      </c>
      <c r="F26" s="14"/>
      <c r="G26" s="54" t="e">
        <f>#REF!</f>
        <v>#REF!</v>
      </c>
      <c r="H26" s="55" t="e">
        <f t="shared" si="0"/>
        <v>#REF!</v>
      </c>
    </row>
    <row r="27" spans="1:8" ht="15.75">
      <c r="A27" s="7">
        <v>19</v>
      </c>
      <c r="B27" s="15" t="s">
        <v>56</v>
      </c>
      <c r="C27" s="68" t="s">
        <v>247</v>
      </c>
      <c r="D27" s="41" t="s">
        <v>56</v>
      </c>
      <c r="E27" s="9">
        <f>'TNTTQUY II - 2016'!P29</f>
        <v>2013000</v>
      </c>
      <c r="F27" s="16"/>
      <c r="G27" s="54" t="e">
        <f>#REF!</f>
        <v>#REF!</v>
      </c>
      <c r="H27" s="55" t="e">
        <f t="shared" si="0"/>
        <v>#REF!</v>
      </c>
    </row>
    <row r="28" spans="1:8" ht="15.75">
      <c r="A28" s="7">
        <v>20</v>
      </c>
      <c r="B28" s="8" t="s">
        <v>58</v>
      </c>
      <c r="C28" s="68" t="s">
        <v>248</v>
      </c>
      <c r="D28" s="35" t="s">
        <v>58</v>
      </c>
      <c r="E28" s="17">
        <f>'TNTTQUY II - 2016'!P32</f>
        <v>1742200</v>
      </c>
      <c r="F28" s="18"/>
      <c r="G28" s="54" t="e">
        <f>#REF!</f>
        <v>#REF!</v>
      </c>
      <c r="H28" s="55" t="e">
        <f t="shared" si="0"/>
        <v>#REF!</v>
      </c>
    </row>
    <row r="29" spans="1:8" ht="15.75">
      <c r="A29" s="7">
        <v>21</v>
      </c>
      <c r="B29" s="8" t="s">
        <v>59</v>
      </c>
      <c r="C29" s="68" t="s">
        <v>249</v>
      </c>
      <c r="D29" s="36" t="s">
        <v>59</v>
      </c>
      <c r="E29" s="17">
        <f>'TNTTQUY II - 2016'!P33</f>
        <v>1700600</v>
      </c>
      <c r="F29" s="18"/>
      <c r="G29" s="54" t="e">
        <f>#REF!</f>
        <v>#REF!</v>
      </c>
      <c r="H29" s="55" t="e">
        <f t="shared" si="0"/>
        <v>#REF!</v>
      </c>
    </row>
    <row r="30" spans="1:8" ht="15.75">
      <c r="A30" s="7">
        <v>22</v>
      </c>
      <c r="B30" s="8" t="s">
        <v>151</v>
      </c>
      <c r="C30" s="68" t="s">
        <v>250</v>
      </c>
      <c r="D30" s="36" t="s">
        <v>151</v>
      </c>
      <c r="E30" s="17">
        <f>'TNTTQUY II - 2016'!P34</f>
        <v>3079200</v>
      </c>
      <c r="F30" s="18"/>
      <c r="G30" s="54" t="e">
        <f>#REF!</f>
        <v>#REF!</v>
      </c>
      <c r="H30" s="55" t="e">
        <f t="shared" si="0"/>
        <v>#REF!</v>
      </c>
    </row>
    <row r="31" spans="1:8" ht="15.75">
      <c r="A31" s="7">
        <v>23</v>
      </c>
      <c r="B31" s="8" t="s">
        <v>106</v>
      </c>
      <c r="C31" s="68" t="s">
        <v>251</v>
      </c>
      <c r="D31" s="36" t="s">
        <v>106</v>
      </c>
      <c r="E31" s="17">
        <f>'TNTTQUY II - 2016'!P35</f>
        <v>0</v>
      </c>
      <c r="F31" s="18"/>
      <c r="G31" s="54" t="e">
        <f>#REF!</f>
        <v>#REF!</v>
      </c>
      <c r="H31" s="55" t="e">
        <f t="shared" si="0"/>
        <v>#REF!</v>
      </c>
    </row>
    <row r="32" spans="1:8" ht="15.75">
      <c r="A32" s="7">
        <v>24</v>
      </c>
      <c r="B32" s="8" t="s">
        <v>108</v>
      </c>
      <c r="C32" s="68" t="s">
        <v>252</v>
      </c>
      <c r="D32" s="36" t="s">
        <v>108</v>
      </c>
      <c r="E32" s="17">
        <f>'TNTTQUY II - 2016'!P36</f>
        <v>1770100</v>
      </c>
      <c r="F32" s="20"/>
      <c r="G32" s="54"/>
      <c r="H32" s="55"/>
    </row>
    <row r="33" spans="1:8" ht="15.75">
      <c r="A33" s="7">
        <v>25</v>
      </c>
      <c r="B33" s="8" t="s">
        <v>55</v>
      </c>
      <c r="C33" s="68" t="s">
        <v>246</v>
      </c>
      <c r="D33" s="35" t="s">
        <v>55</v>
      </c>
      <c r="E33" s="17">
        <f>'TNTTQUY II - 2016'!P37</f>
        <v>1830000</v>
      </c>
      <c r="F33" s="14"/>
      <c r="G33" s="54" t="e">
        <f>#REF!</f>
        <v>#REF!</v>
      </c>
      <c r="H33" s="55" t="e">
        <f>E33-G33</f>
        <v>#REF!</v>
      </c>
    </row>
    <row r="34" spans="1:8" ht="15.75">
      <c r="A34" s="7">
        <v>26</v>
      </c>
      <c r="B34" s="8" t="s">
        <v>61</v>
      </c>
      <c r="C34" s="68" t="s">
        <v>253</v>
      </c>
      <c r="D34" s="58" t="s">
        <v>61</v>
      </c>
      <c r="E34" s="17">
        <f>'TNTTQUY II - 2016'!P38</f>
        <v>3079200</v>
      </c>
      <c r="F34" s="10"/>
      <c r="G34" s="54" t="e">
        <f>#REF!</f>
        <v>#REF!</v>
      </c>
      <c r="H34" s="55" t="e">
        <f aca="true" t="shared" si="1" ref="H34:H64">E34-G34</f>
        <v>#REF!</v>
      </c>
    </row>
    <row r="35" spans="1:8" ht="15.75">
      <c r="A35" s="7"/>
      <c r="B35" s="8" t="s">
        <v>64</v>
      </c>
      <c r="C35" s="68" t="s">
        <v>254</v>
      </c>
      <c r="D35" s="58"/>
      <c r="E35" s="19">
        <f>'TNTTQUY II - 2016'!P41</f>
        <v>1154700</v>
      </c>
      <c r="F35" s="10"/>
      <c r="G35" s="54"/>
      <c r="H35" s="55"/>
    </row>
    <row r="36" spans="1:8" ht="15.75">
      <c r="A36" s="7">
        <v>27</v>
      </c>
      <c r="B36" s="8" t="s">
        <v>66</v>
      </c>
      <c r="C36" s="68" t="s">
        <v>255</v>
      </c>
      <c r="D36" s="36" t="s">
        <v>66</v>
      </c>
      <c r="E36" s="19">
        <f>'TNTTQUY II - 2016'!P42</f>
        <v>2674700</v>
      </c>
      <c r="F36" s="18"/>
      <c r="G36" s="54" t="e">
        <f>#REF!</f>
        <v>#REF!</v>
      </c>
      <c r="H36" s="55" t="e">
        <f t="shared" si="1"/>
        <v>#REF!</v>
      </c>
    </row>
    <row r="37" spans="1:8" ht="15.75">
      <c r="A37" s="7">
        <v>28</v>
      </c>
      <c r="B37" s="8" t="s">
        <v>68</v>
      </c>
      <c r="C37" s="68" t="s">
        <v>256</v>
      </c>
      <c r="D37" s="36" t="s">
        <v>68</v>
      </c>
      <c r="E37" s="19">
        <f>'TNTTQUY II - 2016'!P43</f>
        <v>2232600</v>
      </c>
      <c r="F37" s="18"/>
      <c r="G37" s="54" t="e">
        <f>#REF!</f>
        <v>#REF!</v>
      </c>
      <c r="H37" s="55" t="e">
        <f t="shared" si="1"/>
        <v>#REF!</v>
      </c>
    </row>
    <row r="38" spans="1:8" ht="15.75">
      <c r="A38" s="7">
        <v>29</v>
      </c>
      <c r="B38" s="8" t="s">
        <v>70</v>
      </c>
      <c r="C38" s="68" t="s">
        <v>257</v>
      </c>
      <c r="D38" s="36" t="s">
        <v>70</v>
      </c>
      <c r="E38" s="19">
        <f>'TNTTQUY II - 2016'!P44</f>
        <v>2432600</v>
      </c>
      <c r="F38" s="18"/>
      <c r="G38" s="54" t="e">
        <f>#REF!</f>
        <v>#REF!</v>
      </c>
      <c r="H38" s="55" t="e">
        <f t="shared" si="1"/>
        <v>#REF!</v>
      </c>
    </row>
    <row r="39" spans="1:8" ht="15.75">
      <c r="A39" s="7">
        <v>30</v>
      </c>
      <c r="B39" s="8" t="s">
        <v>72</v>
      </c>
      <c r="C39" s="68" t="s">
        <v>258</v>
      </c>
      <c r="D39" s="36" t="s">
        <v>72</v>
      </c>
      <c r="E39" s="19">
        <f>'TNTTQUY II - 2016'!P45</f>
        <v>2232600</v>
      </c>
      <c r="F39" s="18"/>
      <c r="G39" s="54" t="e">
        <f>#REF!</f>
        <v>#REF!</v>
      </c>
      <c r="H39" s="55" t="e">
        <f t="shared" si="1"/>
        <v>#REF!</v>
      </c>
    </row>
    <row r="40" spans="1:8" ht="15.75">
      <c r="A40" s="7">
        <v>31</v>
      </c>
      <c r="B40" s="8" t="s">
        <v>73</v>
      </c>
      <c r="C40" s="68" t="s">
        <v>259</v>
      </c>
      <c r="D40" s="49" t="s">
        <v>73</v>
      </c>
      <c r="E40" s="19">
        <f>'TNTTQUY II - 2016'!P46</f>
        <v>2191900</v>
      </c>
      <c r="F40" s="18"/>
      <c r="G40" s="54" t="e">
        <f>#REF!</f>
        <v>#REF!</v>
      </c>
      <c r="H40" s="55" t="e">
        <f t="shared" si="1"/>
        <v>#REF!</v>
      </c>
    </row>
    <row r="41" spans="1:8" ht="15.75">
      <c r="A41" s="7">
        <v>32</v>
      </c>
      <c r="B41" s="8" t="s">
        <v>74</v>
      </c>
      <c r="C41" s="68" t="s">
        <v>260</v>
      </c>
      <c r="D41" s="36" t="s">
        <v>74</v>
      </c>
      <c r="E41" s="19">
        <f>'TNTTQUY II - 2016'!P47</f>
        <v>1988600</v>
      </c>
      <c r="F41" s="18"/>
      <c r="G41" s="54" t="e">
        <f>#REF!</f>
        <v>#REF!</v>
      </c>
      <c r="H41" s="55" t="e">
        <f t="shared" si="1"/>
        <v>#REF!</v>
      </c>
    </row>
    <row r="42" spans="1:8" ht="15.75">
      <c r="A42" s="7">
        <v>33</v>
      </c>
      <c r="B42" s="8" t="s">
        <v>76</v>
      </c>
      <c r="C42" s="68" t="s">
        <v>261</v>
      </c>
      <c r="D42" s="148" t="s">
        <v>76</v>
      </c>
      <c r="E42" s="19">
        <f>'TNTTQUY II - 2016'!P48</f>
        <v>2213000</v>
      </c>
      <c r="F42" s="18"/>
      <c r="G42" s="54" t="e">
        <f>#REF!</f>
        <v>#REF!</v>
      </c>
      <c r="H42" s="55" t="e">
        <f t="shared" si="1"/>
        <v>#REF!</v>
      </c>
    </row>
    <row r="43" spans="1:8" ht="15.75">
      <c r="A43" s="7">
        <v>34</v>
      </c>
      <c r="B43" s="8" t="s">
        <v>77</v>
      </c>
      <c r="C43" s="68" t="s">
        <v>262</v>
      </c>
      <c r="D43" s="147" t="s">
        <v>77</v>
      </c>
      <c r="E43" s="19">
        <f>'TNTTQUY II - 2016'!P49</f>
        <v>3660000</v>
      </c>
      <c r="F43" s="18"/>
      <c r="G43" s="54" t="e">
        <f>#REF!</f>
        <v>#REF!</v>
      </c>
      <c r="H43" s="55" t="e">
        <f t="shared" si="1"/>
        <v>#REF!</v>
      </c>
    </row>
    <row r="44" spans="1:8" s="74" customFormat="1" ht="15.75">
      <c r="A44" s="7">
        <v>35</v>
      </c>
      <c r="B44" s="69" t="s">
        <v>79</v>
      </c>
      <c r="C44" s="70" t="s">
        <v>357</v>
      </c>
      <c r="D44" s="36" t="s">
        <v>77</v>
      </c>
      <c r="E44" s="19">
        <f>'TNTTQUY II - 2016'!P50</f>
        <v>6716600</v>
      </c>
      <c r="F44" s="71"/>
      <c r="G44" s="72" t="e">
        <f>#REF!</f>
        <v>#REF!</v>
      </c>
      <c r="H44" s="73" t="e">
        <f t="shared" si="1"/>
        <v>#REF!</v>
      </c>
    </row>
    <row r="45" spans="1:8" ht="15.75">
      <c r="A45" s="7">
        <v>36</v>
      </c>
      <c r="B45" s="8" t="s">
        <v>80</v>
      </c>
      <c r="C45" s="68" t="s">
        <v>264</v>
      </c>
      <c r="D45" s="37" t="s">
        <v>80</v>
      </c>
      <c r="E45" s="19">
        <f>'TNTTQUY II - 2016'!P51</f>
        <v>1830000</v>
      </c>
      <c r="F45" s="18"/>
      <c r="G45" s="54" t="e">
        <f>#REF!</f>
        <v>#REF!</v>
      </c>
      <c r="H45" s="55" t="e">
        <f t="shared" si="1"/>
        <v>#REF!</v>
      </c>
    </row>
    <row r="46" spans="1:8" ht="15.75">
      <c r="A46" s="7">
        <v>37</v>
      </c>
      <c r="B46" s="8" t="s">
        <v>86</v>
      </c>
      <c r="C46" s="68" t="s">
        <v>285</v>
      </c>
      <c r="D46" s="49" t="s">
        <v>86</v>
      </c>
      <c r="E46" s="17">
        <f>'TNTTQUY II - 2016'!P54</f>
        <v>1896100</v>
      </c>
      <c r="F46" s="18"/>
      <c r="G46" s="54" t="e">
        <f>#REF!</f>
        <v>#REF!</v>
      </c>
      <c r="H46" s="55" t="e">
        <f t="shared" si="1"/>
        <v>#REF!</v>
      </c>
    </row>
    <row r="47" spans="1:8" ht="15.75">
      <c r="A47" s="7">
        <v>38</v>
      </c>
      <c r="B47" s="8" t="s">
        <v>145</v>
      </c>
      <c r="C47" s="68" t="s">
        <v>286</v>
      </c>
      <c r="D47" s="36" t="s">
        <v>145</v>
      </c>
      <c r="E47" s="17">
        <f>'TNTTQUY II - 2016'!P55</f>
        <v>3018200</v>
      </c>
      <c r="F47" s="18"/>
      <c r="G47" s="54" t="e">
        <f>#REF!</f>
        <v>#REF!</v>
      </c>
      <c r="H47" s="55" t="e">
        <f t="shared" si="1"/>
        <v>#REF!</v>
      </c>
    </row>
    <row r="48" spans="1:8" ht="15.75">
      <c r="A48" s="7">
        <v>39</v>
      </c>
      <c r="B48" s="8" t="s">
        <v>132</v>
      </c>
      <c r="C48" s="68" t="s">
        <v>287</v>
      </c>
      <c r="D48" s="36" t="s">
        <v>132</v>
      </c>
      <c r="E48" s="17">
        <f>'TNTTQUY II - 2016'!P56</f>
        <v>2213000</v>
      </c>
      <c r="F48" s="18"/>
      <c r="G48" s="54" t="e">
        <f>#REF!</f>
        <v>#REF!</v>
      </c>
      <c r="H48" s="55" t="e">
        <f t="shared" si="1"/>
        <v>#REF!</v>
      </c>
    </row>
    <row r="49" spans="1:8" ht="15.75">
      <c r="A49" s="7">
        <v>40</v>
      </c>
      <c r="B49" s="8" t="s">
        <v>136</v>
      </c>
      <c r="C49" s="68" t="s">
        <v>288</v>
      </c>
      <c r="D49" s="36" t="s">
        <v>136</v>
      </c>
      <c r="E49" s="17">
        <f>'TNTTQUY II - 2016'!P57</f>
        <v>1640300</v>
      </c>
      <c r="F49" s="18"/>
      <c r="G49" s="54" t="e">
        <f>#REF!</f>
        <v>#REF!</v>
      </c>
      <c r="H49" s="55" t="e">
        <f t="shared" si="1"/>
        <v>#REF!</v>
      </c>
    </row>
    <row r="50" spans="1:8" ht="15.75">
      <c r="A50" s="7">
        <v>41</v>
      </c>
      <c r="B50" s="8" t="s">
        <v>137</v>
      </c>
      <c r="C50" s="68" t="s">
        <v>289</v>
      </c>
      <c r="D50" s="36" t="s">
        <v>137</v>
      </c>
      <c r="E50" s="17">
        <f>'TNTTQUY II - 2016'!P58</f>
        <v>1822600</v>
      </c>
      <c r="F50" s="18"/>
      <c r="G50" s="54" t="e">
        <f>#REF!</f>
        <v>#REF!</v>
      </c>
      <c r="H50" s="55" t="e">
        <f t="shared" si="1"/>
        <v>#REF!</v>
      </c>
    </row>
    <row r="51" spans="1:8" ht="15.75">
      <c r="A51" s="7">
        <v>42</v>
      </c>
      <c r="B51" s="8" t="s">
        <v>135</v>
      </c>
      <c r="C51" s="68" t="s">
        <v>290</v>
      </c>
      <c r="D51" s="36" t="s">
        <v>135</v>
      </c>
      <c r="E51" s="17">
        <f>'TNTTQUY II - 2016'!P59</f>
        <v>1464000</v>
      </c>
      <c r="F51" s="18"/>
      <c r="G51" s="54" t="e">
        <f>#REF!</f>
        <v>#REF!</v>
      </c>
      <c r="H51" s="55" t="e">
        <f t="shared" si="1"/>
        <v>#REF!</v>
      </c>
    </row>
    <row r="52" spans="1:8" ht="15.75">
      <c r="A52" s="7">
        <v>43</v>
      </c>
      <c r="B52" s="8" t="s">
        <v>133</v>
      </c>
      <c r="C52" s="68" t="s">
        <v>291</v>
      </c>
      <c r="D52" s="36" t="s">
        <v>133</v>
      </c>
      <c r="E52" s="17">
        <f>'TNTTQUY II - 2016'!P60</f>
        <v>1268800</v>
      </c>
      <c r="F52" s="18"/>
      <c r="G52" s="54" t="e">
        <f>#REF!</f>
        <v>#REF!</v>
      </c>
      <c r="H52" s="55" t="e">
        <f t="shared" si="1"/>
        <v>#REF!</v>
      </c>
    </row>
    <row r="53" spans="1:8" ht="15.75">
      <c r="A53" s="7">
        <v>44</v>
      </c>
      <c r="B53" s="8" t="s">
        <v>207</v>
      </c>
      <c r="C53" s="68" t="s">
        <v>292</v>
      </c>
      <c r="D53" s="42" t="s">
        <v>207</v>
      </c>
      <c r="E53" s="17">
        <f>'TNTTQUY II - 2016'!P61</f>
        <v>1578600</v>
      </c>
      <c r="F53" s="18"/>
      <c r="G53" s="54" t="e">
        <f>#REF!</f>
        <v>#REF!</v>
      </c>
      <c r="H53" s="55" t="e">
        <f t="shared" si="1"/>
        <v>#REF!</v>
      </c>
    </row>
    <row r="54" spans="1:8" ht="15.75">
      <c r="A54" s="7">
        <v>45</v>
      </c>
      <c r="B54" s="8" t="s">
        <v>138</v>
      </c>
      <c r="C54" s="68" t="s">
        <v>293</v>
      </c>
      <c r="D54" s="49" t="s">
        <v>138</v>
      </c>
      <c r="E54" s="17">
        <f>'TNTTQUY II - 2016'!P62</f>
        <v>1830000</v>
      </c>
      <c r="F54" s="18"/>
      <c r="G54" s="54" t="e">
        <f>#REF!</f>
        <v>#REF!</v>
      </c>
      <c r="H54" s="55" t="e">
        <f t="shared" si="1"/>
        <v>#REF!</v>
      </c>
    </row>
    <row r="55" spans="1:8" ht="15.75">
      <c r="A55" s="7">
        <v>46</v>
      </c>
      <c r="B55" s="8" t="s">
        <v>82</v>
      </c>
      <c r="C55" s="68" t="s">
        <v>265</v>
      </c>
      <c r="D55" s="44" t="s">
        <v>82</v>
      </c>
      <c r="E55" s="17">
        <f>'TNTTQUY II - 2016'!P65</f>
        <v>3135400</v>
      </c>
      <c r="F55" s="18"/>
      <c r="G55" s="54" t="e">
        <f>#REF!</f>
        <v>#REF!</v>
      </c>
      <c r="H55" s="55" t="e">
        <f t="shared" si="1"/>
        <v>#REF!</v>
      </c>
    </row>
    <row r="56" spans="1:8" ht="15.75">
      <c r="A56" s="7">
        <v>47</v>
      </c>
      <c r="B56" s="11" t="s">
        <v>83</v>
      </c>
      <c r="C56" s="68" t="s">
        <v>266</v>
      </c>
      <c r="D56" s="36" t="s">
        <v>83</v>
      </c>
      <c r="E56" s="17">
        <f>'TNTTQUY II - 2016'!P66</f>
        <v>3074400</v>
      </c>
      <c r="F56" s="18"/>
      <c r="G56" s="54" t="e">
        <f>#REF!</f>
        <v>#REF!</v>
      </c>
      <c r="H56" s="55" t="e">
        <f t="shared" si="1"/>
        <v>#REF!</v>
      </c>
    </row>
    <row r="57" spans="1:8" ht="15.75">
      <c r="A57" s="7">
        <v>48</v>
      </c>
      <c r="B57" s="12" t="s">
        <v>99</v>
      </c>
      <c r="C57" s="68" t="s">
        <v>267</v>
      </c>
      <c r="D57" s="36" t="s">
        <v>99</v>
      </c>
      <c r="E57" s="17">
        <f>'TNTTQUY II - 2016'!P67</f>
        <v>2836500</v>
      </c>
      <c r="F57" s="18"/>
      <c r="G57" s="54" t="e">
        <f>#REF!</f>
        <v>#REF!</v>
      </c>
      <c r="H57" s="55" t="e">
        <f t="shared" si="1"/>
        <v>#REF!</v>
      </c>
    </row>
    <row r="58" spans="1:8" ht="15.75">
      <c r="A58" s="7">
        <v>49</v>
      </c>
      <c r="B58" s="8" t="s">
        <v>88</v>
      </c>
      <c r="C58" s="68" t="s">
        <v>273</v>
      </c>
      <c r="D58" s="52" t="s">
        <v>88</v>
      </c>
      <c r="E58" s="17">
        <f>'TNTTQUY II - 2016'!P68</f>
        <v>2476600</v>
      </c>
      <c r="F58" s="18"/>
      <c r="G58" s="54" t="e">
        <f>#REF!</f>
        <v>#REF!</v>
      </c>
      <c r="H58" s="55" t="e">
        <f t="shared" si="1"/>
        <v>#REF!</v>
      </c>
    </row>
    <row r="59" spans="1:8" ht="15.75">
      <c r="A59" s="7">
        <v>50</v>
      </c>
      <c r="B59" s="8" t="s">
        <v>90</v>
      </c>
      <c r="C59" s="68" t="s">
        <v>268</v>
      </c>
      <c r="D59" s="49" t="s">
        <v>90</v>
      </c>
      <c r="E59" s="17">
        <f>'TNTTQUY II - 2016'!P69</f>
        <v>3033000</v>
      </c>
      <c r="F59" s="18"/>
      <c r="G59" s="54" t="e">
        <f>#REF!</f>
        <v>#REF!</v>
      </c>
      <c r="H59" s="55" t="e">
        <f t="shared" si="1"/>
        <v>#REF!</v>
      </c>
    </row>
    <row r="60" spans="1:8" s="32" customFormat="1" ht="15.75">
      <c r="A60" s="7">
        <v>51</v>
      </c>
      <c r="B60" s="75" t="s">
        <v>79</v>
      </c>
      <c r="C60" s="76" t="s">
        <v>263</v>
      </c>
      <c r="D60" s="49" t="s">
        <v>79</v>
      </c>
      <c r="E60" s="17">
        <f>'TNTTQUY II - 2016'!P70</f>
        <v>1269800</v>
      </c>
      <c r="F60" s="71"/>
      <c r="G60" s="77" t="e">
        <f>#REF!</f>
        <v>#REF!</v>
      </c>
      <c r="H60" s="78" t="e">
        <f t="shared" si="1"/>
        <v>#REF!</v>
      </c>
    </row>
    <row r="61" spans="1:8" ht="15.75">
      <c r="A61" s="7">
        <v>52</v>
      </c>
      <c r="B61" s="12" t="s">
        <v>95</v>
      </c>
      <c r="C61" s="68" t="s">
        <v>269</v>
      </c>
      <c r="D61" s="36" t="s">
        <v>95</v>
      </c>
      <c r="E61" s="17">
        <f>'TNTTQUY II - 2016'!P71</f>
        <v>1530500</v>
      </c>
      <c r="F61" s="18"/>
      <c r="G61" s="54" t="e">
        <f>#REF!</f>
        <v>#REF!</v>
      </c>
      <c r="H61" s="55" t="e">
        <f t="shared" si="1"/>
        <v>#REF!</v>
      </c>
    </row>
    <row r="62" spans="1:8" ht="15.75">
      <c r="A62" s="7">
        <v>53</v>
      </c>
      <c r="B62" s="12" t="s">
        <v>197</v>
      </c>
      <c r="C62" s="68" t="s">
        <v>270</v>
      </c>
      <c r="D62" s="36" t="s">
        <v>97</v>
      </c>
      <c r="E62" s="17">
        <f>'TNTTQUY II - 2016'!P72</f>
        <v>1497300</v>
      </c>
      <c r="F62" s="18"/>
      <c r="G62" s="54" t="e">
        <f>#REF!</f>
        <v>#REF!</v>
      </c>
      <c r="H62" s="55" t="e">
        <f t="shared" si="1"/>
        <v>#REF!</v>
      </c>
    </row>
    <row r="63" spans="1:6" ht="15.75">
      <c r="A63" s="7">
        <v>54</v>
      </c>
      <c r="B63" s="104" t="s">
        <v>399</v>
      </c>
      <c r="C63" s="229" t="s">
        <v>412</v>
      </c>
      <c r="D63" s="208"/>
      <c r="E63" s="17">
        <f>'TNTTQUY II - 2016'!P73</f>
        <v>1140100</v>
      </c>
      <c r="F63" s="209"/>
    </row>
    <row r="64" spans="1:8" ht="15.75">
      <c r="A64" s="7">
        <v>55</v>
      </c>
      <c r="B64" s="8" t="s">
        <v>206</v>
      </c>
      <c r="C64" s="68" t="s">
        <v>272</v>
      </c>
      <c r="D64" s="36" t="s">
        <v>206</v>
      </c>
      <c r="E64" s="17">
        <f>'TNTTQUY II - 2016'!P74</f>
        <v>1656600</v>
      </c>
      <c r="F64" s="18"/>
      <c r="G64" s="54" t="e">
        <f>#REF!</f>
        <v>#REF!</v>
      </c>
      <c r="H64" s="55" t="e">
        <f t="shared" si="1"/>
        <v>#REF!</v>
      </c>
    </row>
    <row r="65" spans="1:8" ht="15.75">
      <c r="A65" s="7">
        <v>56</v>
      </c>
      <c r="B65" s="8" t="s">
        <v>91</v>
      </c>
      <c r="C65" s="68" t="s">
        <v>355</v>
      </c>
      <c r="D65" s="49" t="s">
        <v>91</v>
      </c>
      <c r="E65" s="17">
        <f>'TNTTQUY II - 2016'!P77</f>
        <v>2600400</v>
      </c>
      <c r="F65" s="18"/>
      <c r="G65" s="54" t="e">
        <f>#REF!</f>
        <v>#REF!</v>
      </c>
      <c r="H65" s="55" t="e">
        <f aca="true" t="shared" si="2" ref="H65:H84">E65-G65</f>
        <v>#REF!</v>
      </c>
    </row>
    <row r="66" spans="1:8" ht="15.75">
      <c r="A66" s="7">
        <v>57</v>
      </c>
      <c r="B66" s="8" t="s">
        <v>92</v>
      </c>
      <c r="C66" s="68" t="s">
        <v>356</v>
      </c>
      <c r="D66" s="49" t="s">
        <v>92</v>
      </c>
      <c r="E66" s="17">
        <f>'TNTTQUY II - 2016'!P78</f>
        <v>2232600</v>
      </c>
      <c r="F66" s="18"/>
      <c r="G66" s="54" t="e">
        <f>#REF!</f>
        <v>#REF!</v>
      </c>
      <c r="H66" s="55" t="e">
        <f t="shared" si="2"/>
        <v>#REF!</v>
      </c>
    </row>
    <row r="67" spans="1:8" ht="15.75">
      <c r="A67" s="7">
        <v>58</v>
      </c>
      <c r="B67" s="8" t="s">
        <v>93</v>
      </c>
      <c r="C67" s="68" t="s">
        <v>274</v>
      </c>
      <c r="D67" s="45" t="s">
        <v>93</v>
      </c>
      <c r="E67" s="17">
        <f>'TNTTQUY II - 2016'!P79</f>
        <v>2232600</v>
      </c>
      <c r="F67" s="18"/>
      <c r="G67" s="54" t="e">
        <f>#REF!</f>
        <v>#REF!</v>
      </c>
      <c r="H67" s="55" t="e">
        <f t="shared" si="2"/>
        <v>#REF!</v>
      </c>
    </row>
    <row r="68" spans="1:8" ht="15.75">
      <c r="A68" s="7">
        <v>59</v>
      </c>
      <c r="B68" s="8" t="s">
        <v>215</v>
      </c>
      <c r="C68" s="68" t="s">
        <v>275</v>
      </c>
      <c r="D68" s="45" t="s">
        <v>214</v>
      </c>
      <c r="E68" s="17">
        <f>'TNTTQUY II - 2016'!P80</f>
        <v>2615600</v>
      </c>
      <c r="F68" s="18"/>
      <c r="G68" s="54" t="e">
        <f>#REF!</f>
        <v>#REF!</v>
      </c>
      <c r="H68" s="55" t="e">
        <f t="shared" si="2"/>
        <v>#REF!</v>
      </c>
    </row>
    <row r="69" spans="1:8" ht="15.75">
      <c r="A69" s="7">
        <v>60</v>
      </c>
      <c r="B69" s="8" t="s">
        <v>94</v>
      </c>
      <c r="C69" s="68" t="s">
        <v>276</v>
      </c>
      <c r="D69" s="36" t="s">
        <v>94</v>
      </c>
      <c r="E69" s="17">
        <f>'TNTTQUY II - 2016'!P81</f>
        <v>2214300</v>
      </c>
      <c r="F69" s="18"/>
      <c r="G69" s="54" t="e">
        <f>#REF!</f>
        <v>#REF!</v>
      </c>
      <c r="H69" s="55" t="e">
        <f t="shared" si="2"/>
        <v>#REF!</v>
      </c>
    </row>
    <row r="70" spans="1:8" ht="15.75">
      <c r="A70" s="7">
        <v>61</v>
      </c>
      <c r="B70" s="12" t="s">
        <v>196</v>
      </c>
      <c r="C70" s="68" t="s">
        <v>277</v>
      </c>
      <c r="D70" s="36" t="s">
        <v>98</v>
      </c>
      <c r="E70" s="17">
        <f>'TNTTQUY II - 2016'!P82</f>
        <v>1497300</v>
      </c>
      <c r="F70" s="18"/>
      <c r="G70" s="54" t="e">
        <f>#REF!</f>
        <v>#REF!</v>
      </c>
      <c r="H70" s="55" t="e">
        <f t="shared" si="2"/>
        <v>#REF!</v>
      </c>
    </row>
    <row r="71" spans="1:8" ht="15.75">
      <c r="A71" s="7">
        <v>62</v>
      </c>
      <c r="B71" s="8" t="s">
        <v>102</v>
      </c>
      <c r="C71" s="68" t="s">
        <v>278</v>
      </c>
      <c r="D71" s="48" t="s">
        <v>102</v>
      </c>
      <c r="E71" s="17">
        <f>'TNTTQUY II - 2016'!P85</f>
        <v>2907300</v>
      </c>
      <c r="F71" s="18"/>
      <c r="G71" s="54" t="e">
        <f>#REF!</f>
        <v>#REF!</v>
      </c>
      <c r="H71" s="55" t="e">
        <f t="shared" si="2"/>
        <v>#REF!</v>
      </c>
    </row>
    <row r="72" spans="1:8" ht="15.75">
      <c r="A72" s="7">
        <v>63</v>
      </c>
      <c r="B72" s="8" t="s">
        <v>104</v>
      </c>
      <c r="C72" s="68" t="s">
        <v>279</v>
      </c>
      <c r="D72" s="36" t="s">
        <v>104</v>
      </c>
      <c r="E72" s="17">
        <f>'TNTTQUY II - 2016'!P86</f>
        <v>3280500</v>
      </c>
      <c r="F72" s="18"/>
      <c r="G72" s="54" t="e">
        <f>#REF!</f>
        <v>#REF!</v>
      </c>
      <c r="H72" s="55" t="e">
        <f t="shared" si="2"/>
        <v>#REF!</v>
      </c>
    </row>
    <row r="73" spans="1:8" ht="15.75">
      <c r="A73" s="7">
        <v>64</v>
      </c>
      <c r="B73" s="8" t="s">
        <v>105</v>
      </c>
      <c r="C73" s="68" t="s">
        <v>280</v>
      </c>
      <c r="D73" s="36" t="s">
        <v>105</v>
      </c>
      <c r="E73" s="17">
        <f>'TNTTQUY II - 2016'!P87</f>
        <v>1830000</v>
      </c>
      <c r="F73" s="18"/>
      <c r="G73" s="54" t="e">
        <f>#REF!</f>
        <v>#REF!</v>
      </c>
      <c r="H73" s="55" t="e">
        <f t="shared" si="2"/>
        <v>#REF!</v>
      </c>
    </row>
    <row r="74" spans="1:8" ht="15.75">
      <c r="A74" s="7">
        <v>65</v>
      </c>
      <c r="B74" s="8" t="s">
        <v>107</v>
      </c>
      <c r="C74" s="68" t="s">
        <v>281</v>
      </c>
      <c r="D74" s="36" t="s">
        <v>107</v>
      </c>
      <c r="E74" s="17">
        <f>'TNTTQUY II - 2016'!P88</f>
        <v>1464000</v>
      </c>
      <c r="F74" s="18"/>
      <c r="G74" s="54" t="e">
        <f>#REF!</f>
        <v>#REF!</v>
      </c>
      <c r="H74" s="55" t="e">
        <f t="shared" si="2"/>
        <v>#REF!</v>
      </c>
    </row>
    <row r="75" spans="1:8" ht="15.75">
      <c r="A75" s="7">
        <v>66</v>
      </c>
      <c r="B75" s="8" t="s">
        <v>110</v>
      </c>
      <c r="C75" s="68" t="s">
        <v>282</v>
      </c>
      <c r="D75" s="49" t="s">
        <v>110</v>
      </c>
      <c r="E75" s="17">
        <f>'TNTTQUY II - 2016'!P89</f>
        <v>1587200</v>
      </c>
      <c r="F75" s="18"/>
      <c r="G75" s="54" t="e">
        <f>#REF!</f>
        <v>#REF!</v>
      </c>
      <c r="H75" s="55" t="e">
        <f t="shared" si="2"/>
        <v>#REF!</v>
      </c>
    </row>
    <row r="76" spans="1:8" ht="15.75">
      <c r="A76" s="7">
        <v>67</v>
      </c>
      <c r="B76" s="8" t="s">
        <v>111</v>
      </c>
      <c r="C76" s="68" t="s">
        <v>283</v>
      </c>
      <c r="D76" s="36" t="s">
        <v>111</v>
      </c>
      <c r="E76" s="17">
        <f>'TNTTQUY II - 2016'!P90</f>
        <v>1578600</v>
      </c>
      <c r="F76" s="18"/>
      <c r="G76" s="54" t="e">
        <f>#REF!</f>
        <v>#REF!</v>
      </c>
      <c r="H76" s="55" t="e">
        <f t="shared" si="2"/>
        <v>#REF!</v>
      </c>
    </row>
    <row r="77" spans="1:8" ht="15.75">
      <c r="A77" s="7">
        <v>68</v>
      </c>
      <c r="B77" s="8" t="s">
        <v>112</v>
      </c>
      <c r="C77" s="68" t="s">
        <v>284</v>
      </c>
      <c r="D77" s="36" t="s">
        <v>112</v>
      </c>
      <c r="E77" s="17">
        <f>'TNTTQUY II - 2016'!P91</f>
        <v>1866600</v>
      </c>
      <c r="F77" s="18"/>
      <c r="G77" s="54" t="e">
        <f>#REF!</f>
        <v>#REF!</v>
      </c>
      <c r="H77" s="55" t="e">
        <f t="shared" si="2"/>
        <v>#REF!</v>
      </c>
    </row>
    <row r="78" spans="1:8" ht="15.75">
      <c r="A78" s="7">
        <v>69</v>
      </c>
      <c r="B78" s="8" t="s">
        <v>116</v>
      </c>
      <c r="C78" s="68" t="s">
        <v>310</v>
      </c>
      <c r="D78" s="36" t="s">
        <v>116</v>
      </c>
      <c r="E78" s="17">
        <f>'TNTTQUY II - 2016'!P94</f>
        <v>2816900</v>
      </c>
      <c r="F78" s="18"/>
      <c r="G78" s="54" t="e">
        <f>#REF!</f>
        <v>#REF!</v>
      </c>
      <c r="H78" s="55" t="e">
        <f t="shared" si="2"/>
        <v>#REF!</v>
      </c>
    </row>
    <row r="79" spans="1:8" ht="15.75">
      <c r="A79" s="7">
        <v>70</v>
      </c>
      <c r="B79" s="8" t="s">
        <v>118</v>
      </c>
      <c r="C79" s="68" t="s">
        <v>309</v>
      </c>
      <c r="D79" s="36" t="s">
        <v>118</v>
      </c>
      <c r="E79" s="17">
        <f>'TNTTQUY II - 2016'!P95</f>
        <v>2415600</v>
      </c>
      <c r="F79" s="18"/>
      <c r="G79" s="54" t="e">
        <f>#REF!</f>
        <v>#REF!</v>
      </c>
      <c r="H79" s="55" t="e">
        <f t="shared" si="2"/>
        <v>#REF!</v>
      </c>
    </row>
    <row r="80" spans="1:8" ht="15.75">
      <c r="A80" s="7">
        <v>71</v>
      </c>
      <c r="B80" s="8" t="s">
        <v>119</v>
      </c>
      <c r="C80" s="68" t="s">
        <v>311</v>
      </c>
      <c r="D80" s="36" t="s">
        <v>119</v>
      </c>
      <c r="E80" s="17">
        <f>'TNTTQUY II - 2016'!P96</f>
        <v>1830000</v>
      </c>
      <c r="F80" s="18"/>
      <c r="G80" s="54" t="e">
        <f>#REF!</f>
        <v>#REF!</v>
      </c>
      <c r="H80" s="55" t="e">
        <f t="shared" si="2"/>
        <v>#REF!</v>
      </c>
    </row>
    <row r="81" spans="1:8" ht="15.75">
      <c r="A81" s="7">
        <v>72</v>
      </c>
      <c r="B81" s="11" t="s">
        <v>120</v>
      </c>
      <c r="C81" s="68" t="s">
        <v>307</v>
      </c>
      <c r="D81" s="36" t="s">
        <v>120</v>
      </c>
      <c r="E81" s="17">
        <f>'TNTTQUY II - 2016'!P97</f>
        <v>3280500</v>
      </c>
      <c r="F81" s="14"/>
      <c r="G81" s="54" t="e">
        <f>#REF!</f>
        <v>#REF!</v>
      </c>
      <c r="H81" s="55" t="e">
        <f t="shared" si="2"/>
        <v>#REF!</v>
      </c>
    </row>
    <row r="82" spans="1:8" ht="15.75">
      <c r="A82" s="7">
        <v>73</v>
      </c>
      <c r="B82" s="12" t="s">
        <v>121</v>
      </c>
      <c r="C82" s="68" t="s">
        <v>308</v>
      </c>
      <c r="D82" s="48" t="s">
        <v>121</v>
      </c>
      <c r="E82" s="17">
        <f>'TNTTQUY II - 2016'!P98</f>
        <v>1647000</v>
      </c>
      <c r="F82" s="18"/>
      <c r="G82" s="54" t="e">
        <f>#REF!</f>
        <v>#REF!</v>
      </c>
      <c r="H82" s="55" t="e">
        <f t="shared" si="2"/>
        <v>#REF!</v>
      </c>
    </row>
    <row r="83" spans="1:8" ht="15.75">
      <c r="A83" s="7">
        <v>74</v>
      </c>
      <c r="B83" s="8" t="s">
        <v>122</v>
      </c>
      <c r="C83" s="68" t="s">
        <v>315</v>
      </c>
      <c r="D83" s="36" t="s">
        <v>122</v>
      </c>
      <c r="E83" s="17">
        <f>'TNTTQUY II - 2016'!P99</f>
        <v>1578600</v>
      </c>
      <c r="F83" s="18"/>
      <c r="G83" s="54" t="e">
        <f>#REF!</f>
        <v>#REF!</v>
      </c>
      <c r="H83" s="55" t="e">
        <f t="shared" si="2"/>
        <v>#REF!</v>
      </c>
    </row>
    <row r="84" spans="1:8" ht="15.75">
      <c r="A84" s="7">
        <v>75</v>
      </c>
      <c r="B84" s="8" t="s">
        <v>123</v>
      </c>
      <c r="C84" s="68" t="s">
        <v>312</v>
      </c>
      <c r="D84" s="37" t="s">
        <v>123</v>
      </c>
      <c r="E84" s="17">
        <f>'TNTTQUY II - 2016'!P100</f>
        <v>1420700</v>
      </c>
      <c r="F84" s="18"/>
      <c r="G84" s="54" t="e">
        <f>#REF!</f>
        <v>#REF!</v>
      </c>
      <c r="H84" s="55" t="e">
        <f t="shared" si="2"/>
        <v>#REF!</v>
      </c>
    </row>
    <row r="85" spans="1:8" ht="15.75">
      <c r="A85" s="7">
        <v>76</v>
      </c>
      <c r="B85" s="12" t="s">
        <v>218</v>
      </c>
      <c r="C85" s="68" t="s">
        <v>314</v>
      </c>
      <c r="D85" s="37"/>
      <c r="E85" s="17">
        <f>'TNTTQUY II - 2016'!P101</f>
        <v>0</v>
      </c>
      <c r="F85" s="18"/>
      <c r="G85" s="54"/>
      <c r="H85" s="55"/>
    </row>
    <row r="86" spans="1:8" ht="15.75">
      <c r="A86" s="7">
        <v>77</v>
      </c>
      <c r="B86" s="8" t="s">
        <v>124</v>
      </c>
      <c r="C86" s="68" t="s">
        <v>313</v>
      </c>
      <c r="D86" s="146" t="s">
        <v>124</v>
      </c>
      <c r="E86" s="17">
        <f>'TNTTQUY II - 2016'!P102</f>
        <v>1587200</v>
      </c>
      <c r="F86" s="18"/>
      <c r="G86" s="54" t="e">
        <f>#REF!</f>
        <v>#REF!</v>
      </c>
      <c r="H86" s="55" t="e">
        <f aca="true" t="shared" si="3" ref="H86:H106">E86-G86</f>
        <v>#REF!</v>
      </c>
    </row>
    <row r="87" spans="1:8" ht="15.75">
      <c r="A87" s="7">
        <v>78</v>
      </c>
      <c r="B87" s="8" t="s">
        <v>127</v>
      </c>
      <c r="C87" s="68" t="s">
        <v>296</v>
      </c>
      <c r="D87" s="147" t="s">
        <v>127</v>
      </c>
      <c r="E87" s="17">
        <f>'TNTTQUY II - 2016'!P105</f>
        <v>3220800</v>
      </c>
      <c r="F87" s="18"/>
      <c r="G87" s="54" t="e">
        <f>#REF!</f>
        <v>#REF!</v>
      </c>
      <c r="H87" s="55" t="e">
        <f t="shared" si="3"/>
        <v>#REF!</v>
      </c>
    </row>
    <row r="88" spans="1:8" ht="15.75">
      <c r="A88" s="7">
        <v>79</v>
      </c>
      <c r="B88" s="8" t="s">
        <v>129</v>
      </c>
      <c r="C88" s="68" t="s">
        <v>294</v>
      </c>
      <c r="D88" s="35" t="s">
        <v>129</v>
      </c>
      <c r="E88" s="17">
        <f>'TNTTQUY II - 2016'!P106</f>
        <v>2676600</v>
      </c>
      <c r="F88" s="18"/>
      <c r="G88" s="54" t="e">
        <f>#REF!</f>
        <v>#REF!</v>
      </c>
      <c r="H88" s="55" t="e">
        <f t="shared" si="3"/>
        <v>#REF!</v>
      </c>
    </row>
    <row r="89" spans="1:8" ht="15.75">
      <c r="A89" s="7">
        <v>80</v>
      </c>
      <c r="B89" s="8" t="s">
        <v>131</v>
      </c>
      <c r="C89" s="68" t="s">
        <v>295</v>
      </c>
      <c r="D89" s="36" t="s">
        <v>131</v>
      </c>
      <c r="E89" s="17">
        <f>'TNTTQUY II - 2016'!P107</f>
        <v>2214300</v>
      </c>
      <c r="F89" s="18"/>
      <c r="G89" s="54" t="e">
        <f>#REF!</f>
        <v>#REF!</v>
      </c>
      <c r="H89" s="55" t="e">
        <f t="shared" si="3"/>
        <v>#REF!</v>
      </c>
    </row>
    <row r="90" spans="1:8" ht="15.75">
      <c r="A90" s="7">
        <v>81</v>
      </c>
      <c r="B90" s="8" t="s">
        <v>134</v>
      </c>
      <c r="C90" s="68" t="s">
        <v>302</v>
      </c>
      <c r="D90" s="48" t="s">
        <v>134</v>
      </c>
      <c r="E90" s="17">
        <f>'TNTTQUY II - 2016'!P108</f>
        <v>1830000</v>
      </c>
      <c r="F90" s="18"/>
      <c r="G90" s="54" t="e">
        <f>#REF!</f>
        <v>#REF!</v>
      </c>
      <c r="H90" s="55" t="e">
        <f t="shared" si="3"/>
        <v>#REF!</v>
      </c>
    </row>
    <row r="91" spans="1:8" ht="15.75">
      <c r="A91" s="7">
        <v>82</v>
      </c>
      <c r="B91" s="8" t="s">
        <v>140</v>
      </c>
      <c r="C91" s="68" t="s">
        <v>298</v>
      </c>
      <c r="D91" s="36" t="s">
        <v>140</v>
      </c>
      <c r="E91" s="17">
        <f>'TNTTQUY II - 2016'!P109</f>
        <v>1530500</v>
      </c>
      <c r="F91" s="18"/>
      <c r="G91" s="54" t="e">
        <f>#REF!</f>
        <v>#REF!</v>
      </c>
      <c r="H91" s="55" t="e">
        <f t="shared" si="3"/>
        <v>#REF!</v>
      </c>
    </row>
    <row r="92" spans="1:8" ht="15.75">
      <c r="A92" s="7">
        <v>83</v>
      </c>
      <c r="B92" s="8" t="s">
        <v>142</v>
      </c>
      <c r="C92" s="68" t="s">
        <v>305</v>
      </c>
      <c r="D92" s="36" t="s">
        <v>142</v>
      </c>
      <c r="E92" s="17">
        <f>'TNTTQUY II - 2016'!P110</f>
        <v>1830000</v>
      </c>
      <c r="F92" s="18"/>
      <c r="G92" s="54" t="e">
        <f>#REF!</f>
        <v>#REF!</v>
      </c>
      <c r="H92" s="55" t="e">
        <f t="shared" si="3"/>
        <v>#REF!</v>
      </c>
    </row>
    <row r="93" spans="1:8" ht="15.75">
      <c r="A93" s="7">
        <v>84</v>
      </c>
      <c r="B93" s="8" t="s">
        <v>143</v>
      </c>
      <c r="C93" s="68" t="s">
        <v>299</v>
      </c>
      <c r="D93" s="36" t="s">
        <v>143</v>
      </c>
      <c r="E93" s="17">
        <f>'TNTTQUY II - 2016'!P111</f>
        <v>1778600</v>
      </c>
      <c r="F93" s="18"/>
      <c r="G93" s="54" t="e">
        <f>#REF!</f>
        <v>#REF!</v>
      </c>
      <c r="H93" s="55" t="e">
        <f t="shared" si="3"/>
        <v>#REF!</v>
      </c>
    </row>
    <row r="94" spans="1:8" ht="15.75">
      <c r="A94" s="7">
        <v>85</v>
      </c>
      <c r="B94" s="8" t="s">
        <v>144</v>
      </c>
      <c r="C94" s="68" t="s">
        <v>303</v>
      </c>
      <c r="D94" s="42" t="s">
        <v>144</v>
      </c>
      <c r="E94" s="17">
        <f>'TNTTQUY II - 2016'!P112</f>
        <v>1830000</v>
      </c>
      <c r="F94" s="18"/>
      <c r="G94" s="54" t="e">
        <f>#REF!</f>
        <v>#REF!</v>
      </c>
      <c r="H94" s="55" t="e">
        <f t="shared" si="3"/>
        <v>#REF!</v>
      </c>
    </row>
    <row r="95" spans="1:8" ht="15.75">
      <c r="A95" s="7">
        <v>86</v>
      </c>
      <c r="B95" s="8" t="s">
        <v>110</v>
      </c>
      <c r="C95" s="68" t="s">
        <v>301</v>
      </c>
      <c r="D95" s="36" t="s">
        <v>110</v>
      </c>
      <c r="E95" s="17">
        <f>'TNTTQUY II - 2016'!P113</f>
        <v>1678600</v>
      </c>
      <c r="F95" s="18"/>
      <c r="G95" s="54" t="e">
        <f>#REF!</f>
        <v>#REF!</v>
      </c>
      <c r="H95" s="55" t="e">
        <f t="shared" si="3"/>
        <v>#REF!</v>
      </c>
    </row>
    <row r="96" spans="1:8" ht="15.75">
      <c r="A96" s="7">
        <v>87</v>
      </c>
      <c r="B96" s="42" t="s">
        <v>212</v>
      </c>
      <c r="C96" s="68" t="s">
        <v>306</v>
      </c>
      <c r="D96" s="42" t="s">
        <v>212</v>
      </c>
      <c r="E96" s="17">
        <f>'TNTTQUY II - 2016'!P114</f>
        <v>1456600</v>
      </c>
      <c r="F96" s="18"/>
      <c r="G96" s="54" t="e">
        <f>#REF!</f>
        <v>#REF!</v>
      </c>
      <c r="H96" s="55" t="e">
        <f t="shared" si="3"/>
        <v>#REF!</v>
      </c>
    </row>
    <row r="97" spans="1:8" ht="15.75">
      <c r="A97" s="7">
        <v>88</v>
      </c>
      <c r="B97" s="36" t="s">
        <v>213</v>
      </c>
      <c r="C97" s="68" t="s">
        <v>297</v>
      </c>
      <c r="D97" s="36" t="s">
        <v>213</v>
      </c>
      <c r="E97" s="17">
        <f>'TNTTQUY II - 2016'!P115</f>
        <v>1456600</v>
      </c>
      <c r="F97" s="18"/>
      <c r="G97" s="54" t="e">
        <f>#REF!</f>
        <v>#REF!</v>
      </c>
      <c r="H97" s="55" t="e">
        <f t="shared" si="3"/>
        <v>#REF!</v>
      </c>
    </row>
    <row r="98" spans="1:8" ht="15.75">
      <c r="A98" s="7">
        <v>89</v>
      </c>
      <c r="B98" s="129" t="s">
        <v>225</v>
      </c>
      <c r="C98" s="68" t="s">
        <v>413</v>
      </c>
      <c r="D98" s="42"/>
      <c r="E98" s="17">
        <f>'TNTTQUY II - 2016'!P116</f>
        <v>1135300</v>
      </c>
      <c r="F98" s="18"/>
      <c r="G98" s="54"/>
      <c r="H98" s="55"/>
    </row>
    <row r="99" spans="1:8" ht="15.75">
      <c r="A99" s="7">
        <v>90</v>
      </c>
      <c r="B99" s="129" t="s">
        <v>389</v>
      </c>
      <c r="C99" s="68" t="s">
        <v>414</v>
      </c>
      <c r="D99" s="42"/>
      <c r="E99" s="17">
        <f>'TNTTQUY II - 2016'!P117</f>
        <v>1140100</v>
      </c>
      <c r="F99" s="18"/>
      <c r="G99" s="54"/>
      <c r="H99" s="55"/>
    </row>
    <row r="100" spans="1:8" ht="15.75">
      <c r="A100" s="7">
        <v>91</v>
      </c>
      <c r="B100" s="8" t="s">
        <v>208</v>
      </c>
      <c r="C100" s="68" t="s">
        <v>304</v>
      </c>
      <c r="D100" s="42" t="s">
        <v>208</v>
      </c>
      <c r="E100" s="17">
        <f>'TNTTQUY II - 2016'!P118</f>
        <v>1656600</v>
      </c>
      <c r="F100" s="18"/>
      <c r="G100" s="54" t="e">
        <f>#REF!</f>
        <v>#REF!</v>
      </c>
      <c r="H100" s="55" t="e">
        <f t="shared" si="3"/>
        <v>#REF!</v>
      </c>
    </row>
    <row r="101" spans="1:8" ht="15.75">
      <c r="A101" s="7">
        <v>92</v>
      </c>
      <c r="B101" s="8" t="s">
        <v>148</v>
      </c>
      <c r="C101" s="68" t="s">
        <v>342</v>
      </c>
      <c r="D101" s="48" t="s">
        <v>148</v>
      </c>
      <c r="E101" s="17">
        <f>'TNTTQUY II - 2016'!P121</f>
        <v>2676600</v>
      </c>
      <c r="F101" s="18"/>
      <c r="G101" s="54" t="e">
        <f>#REF!</f>
        <v>#REF!</v>
      </c>
      <c r="H101" s="55" t="e">
        <f t="shared" si="3"/>
        <v>#REF!</v>
      </c>
    </row>
    <row r="102" spans="1:8" ht="15.75">
      <c r="A102" s="7">
        <v>93</v>
      </c>
      <c r="B102" s="11" t="s">
        <v>149</v>
      </c>
      <c r="C102" s="68" t="s">
        <v>346</v>
      </c>
      <c r="D102" s="36" t="s">
        <v>149</v>
      </c>
      <c r="E102" s="17">
        <f>'TNTTQUY II - 2016'!P122</f>
        <v>3220100</v>
      </c>
      <c r="F102" s="20"/>
      <c r="G102" s="54" t="e">
        <f>#REF!</f>
        <v>#REF!</v>
      </c>
      <c r="H102" s="55" t="e">
        <f t="shared" si="3"/>
        <v>#REF!</v>
      </c>
    </row>
    <row r="103" spans="1:8" ht="15.75">
      <c r="A103" s="7">
        <v>94</v>
      </c>
      <c r="B103" s="8" t="s">
        <v>150</v>
      </c>
      <c r="C103" s="68" t="s">
        <v>343</v>
      </c>
      <c r="D103" s="58" t="s">
        <v>150</v>
      </c>
      <c r="E103" s="17">
        <f>'TNTTQUY II - 2016'!P123</f>
        <v>3057700</v>
      </c>
      <c r="F103" s="18"/>
      <c r="G103" s="54" t="e">
        <f>#REF!</f>
        <v>#REF!</v>
      </c>
      <c r="H103" s="55" t="e">
        <f t="shared" si="3"/>
        <v>#REF!</v>
      </c>
    </row>
    <row r="104" spans="1:8" ht="15.75">
      <c r="A104" s="7">
        <v>95</v>
      </c>
      <c r="B104" s="8" t="s">
        <v>152</v>
      </c>
      <c r="C104" s="68" t="s">
        <v>344</v>
      </c>
      <c r="D104" s="36" t="s">
        <v>152</v>
      </c>
      <c r="E104" s="17">
        <f>'TNTTQUY II - 2016'!P124</f>
        <v>1679900</v>
      </c>
      <c r="F104" s="18"/>
      <c r="G104" s="54" t="e">
        <f>#REF!</f>
        <v>#REF!</v>
      </c>
      <c r="H104" s="55" t="e">
        <f t="shared" si="3"/>
        <v>#REF!</v>
      </c>
    </row>
    <row r="105" spans="1:8" ht="15.75">
      <c r="A105" s="7">
        <v>96</v>
      </c>
      <c r="B105" s="12" t="s">
        <v>153</v>
      </c>
      <c r="C105" s="68" t="s">
        <v>354</v>
      </c>
      <c r="D105" s="36" t="s">
        <v>153</v>
      </c>
      <c r="E105" s="17">
        <f>'TNTTQUY II - 2016'!P125</f>
        <v>1700600</v>
      </c>
      <c r="F105" s="18"/>
      <c r="G105" s="54" t="e">
        <f>#REF!</f>
        <v>#REF!</v>
      </c>
      <c r="H105" s="55" t="e">
        <f t="shared" si="3"/>
        <v>#REF!</v>
      </c>
    </row>
    <row r="106" spans="1:8" ht="15.75">
      <c r="A106" s="7">
        <v>97</v>
      </c>
      <c r="B106" s="8" t="s">
        <v>115</v>
      </c>
      <c r="C106" s="68" t="s">
        <v>345</v>
      </c>
      <c r="D106" s="35" t="s">
        <v>115</v>
      </c>
      <c r="E106" s="17">
        <f>'TNTTQUY II - 2016'!P126</f>
        <v>1473400</v>
      </c>
      <c r="F106" s="18"/>
      <c r="G106" s="54" t="e">
        <f>#REF!</f>
        <v>#REF!</v>
      </c>
      <c r="H106" s="55" t="e">
        <f t="shared" si="3"/>
        <v>#REF!</v>
      </c>
    </row>
    <row r="107" spans="1:8" ht="15.75">
      <c r="A107" s="7">
        <v>98</v>
      </c>
      <c r="B107" s="12" t="s">
        <v>220</v>
      </c>
      <c r="C107" s="68" t="s">
        <v>347</v>
      </c>
      <c r="D107" s="42"/>
      <c r="E107" s="17">
        <f>'TNTTQUY II - 2016'!P127</f>
        <v>1334600</v>
      </c>
      <c r="F107" s="18"/>
      <c r="G107" s="54"/>
      <c r="H107" s="55"/>
    </row>
    <row r="108" spans="1:8" ht="15.75">
      <c r="A108" s="7">
        <v>99</v>
      </c>
      <c r="B108" s="8" t="s">
        <v>139</v>
      </c>
      <c r="C108" s="68" t="s">
        <v>300</v>
      </c>
      <c r="D108" s="49" t="s">
        <v>139</v>
      </c>
      <c r="E108" s="17">
        <f>'TNTTQUY II - 2016'!P128</f>
        <v>1700600</v>
      </c>
      <c r="F108" s="18"/>
      <c r="G108" s="54" t="e">
        <f>#REF!</f>
        <v>#REF!</v>
      </c>
      <c r="H108" s="55" t="e">
        <f>E108-G108</f>
        <v>#REF!</v>
      </c>
    </row>
    <row r="109" spans="1:8" ht="15.75">
      <c r="A109" s="7">
        <v>100</v>
      </c>
      <c r="B109" s="12" t="s">
        <v>154</v>
      </c>
      <c r="C109" s="68" t="s">
        <v>353</v>
      </c>
      <c r="D109" s="37" t="s">
        <v>154</v>
      </c>
      <c r="E109" s="17">
        <f>'TNTTQUY II - 2016'!P129</f>
        <v>1755500</v>
      </c>
      <c r="F109" s="18"/>
      <c r="G109" s="54" t="e">
        <f>#REF!</f>
        <v>#REF!</v>
      </c>
      <c r="H109" s="55" t="e">
        <f aca="true" t="shared" si="4" ref="H109:H114">E109-G109</f>
        <v>#REF!</v>
      </c>
    </row>
    <row r="110" spans="1:8" ht="15.75">
      <c r="A110" s="7">
        <v>101</v>
      </c>
      <c r="B110" s="8" t="s">
        <v>130</v>
      </c>
      <c r="C110" s="68" t="s">
        <v>348</v>
      </c>
      <c r="D110" s="48" t="s">
        <v>130</v>
      </c>
      <c r="E110" s="17">
        <f>'TNTTQUY II - 2016'!P132</f>
        <v>2063900</v>
      </c>
      <c r="F110" s="18"/>
      <c r="G110" s="54" t="e">
        <f>#REF!</f>
        <v>#REF!</v>
      </c>
      <c r="H110" s="55" t="e">
        <f t="shared" si="4"/>
        <v>#REF!</v>
      </c>
    </row>
    <row r="111" spans="1:8" ht="15.75">
      <c r="A111" s="7">
        <v>102</v>
      </c>
      <c r="B111" s="8" t="s">
        <v>158</v>
      </c>
      <c r="C111" s="68" t="s">
        <v>349</v>
      </c>
      <c r="D111" s="36" t="s">
        <v>158</v>
      </c>
      <c r="E111" s="17">
        <f>'TNTTQUY II - 2016'!P133</f>
        <v>1742200</v>
      </c>
      <c r="F111" s="18"/>
      <c r="G111" s="54" t="e">
        <f>#REF!</f>
        <v>#REF!</v>
      </c>
      <c r="H111" s="55" t="e">
        <f t="shared" si="4"/>
        <v>#REF!</v>
      </c>
    </row>
    <row r="112" spans="1:8" ht="15.75">
      <c r="A112" s="7">
        <v>103</v>
      </c>
      <c r="B112" s="8" t="s">
        <v>159</v>
      </c>
      <c r="C112" s="68" t="s">
        <v>350</v>
      </c>
      <c r="D112" s="36" t="s">
        <v>159</v>
      </c>
      <c r="E112" s="17">
        <f>'TNTTQUY II - 2016'!P134</f>
        <v>2000600</v>
      </c>
      <c r="F112" s="18"/>
      <c r="G112" s="54" t="e">
        <f>#REF!</f>
        <v>#REF!</v>
      </c>
      <c r="H112" s="55" t="e">
        <f t="shared" si="4"/>
        <v>#REF!</v>
      </c>
    </row>
    <row r="113" spans="1:8" ht="15.75">
      <c r="A113" s="7">
        <v>104</v>
      </c>
      <c r="B113" s="8" t="s">
        <v>161</v>
      </c>
      <c r="C113" s="68" t="s">
        <v>351</v>
      </c>
      <c r="D113" s="36" t="s">
        <v>161</v>
      </c>
      <c r="E113" s="17">
        <f>'TNTTQUY II - 2016'!P135</f>
        <v>2816900</v>
      </c>
      <c r="F113" s="18"/>
      <c r="G113" s="54" t="e">
        <f>#REF!</f>
        <v>#REF!</v>
      </c>
      <c r="H113" s="55" t="e">
        <f t="shared" si="4"/>
        <v>#REF!</v>
      </c>
    </row>
    <row r="114" spans="1:8" ht="15.75">
      <c r="A114" s="7">
        <v>105</v>
      </c>
      <c r="B114" s="22" t="s">
        <v>162</v>
      </c>
      <c r="C114" s="68" t="s">
        <v>352</v>
      </c>
      <c r="D114" s="36" t="s">
        <v>162</v>
      </c>
      <c r="E114" s="17">
        <f>'TNTTQUY II - 2016'!P136</f>
        <v>1497300</v>
      </c>
      <c r="F114" s="21"/>
      <c r="G114" s="54" t="e">
        <f>#REF!</f>
        <v>#REF!</v>
      </c>
      <c r="H114" s="55" t="e">
        <f t="shared" si="4"/>
        <v>#REF!</v>
      </c>
    </row>
    <row r="115" spans="1:8" ht="15.75">
      <c r="A115" s="7">
        <v>106</v>
      </c>
      <c r="B115" s="37" t="s">
        <v>216</v>
      </c>
      <c r="C115" s="68" t="s">
        <v>341</v>
      </c>
      <c r="D115" s="37" t="s">
        <v>216</v>
      </c>
      <c r="E115" s="17">
        <f>'TNTTQUY II - 2016'!P137</f>
        <v>1334600</v>
      </c>
      <c r="F115" s="21"/>
      <c r="G115" s="54"/>
      <c r="H115" s="55"/>
    </row>
    <row r="116" spans="1:8" ht="15.75">
      <c r="A116" s="7">
        <v>107</v>
      </c>
      <c r="B116" s="8" t="s">
        <v>160</v>
      </c>
      <c r="C116" s="68" t="s">
        <v>271</v>
      </c>
      <c r="D116" s="35" t="s">
        <v>160</v>
      </c>
      <c r="E116" s="17">
        <f>'TNTTQUY II - 2016'!P138</f>
        <v>1578600</v>
      </c>
      <c r="F116" s="18"/>
      <c r="G116" s="54" t="e">
        <f>#REF!</f>
        <v>#REF!</v>
      </c>
      <c r="H116" s="55" t="e">
        <f>E116-G116</f>
        <v>#REF!</v>
      </c>
    </row>
    <row r="117" spans="1:8" ht="15.75">
      <c r="A117" s="7">
        <v>108</v>
      </c>
      <c r="B117" s="42" t="s">
        <v>394</v>
      </c>
      <c r="C117" s="68" t="s">
        <v>416</v>
      </c>
      <c r="D117" s="37"/>
      <c r="E117" s="17">
        <f>'TNTTQUY II - 2016'!P139</f>
        <v>1513900</v>
      </c>
      <c r="F117" s="21"/>
      <c r="G117" s="54"/>
      <c r="H117" s="55"/>
    </row>
    <row r="118" spans="1:8" ht="15.75">
      <c r="A118" s="7">
        <v>109</v>
      </c>
      <c r="B118" s="12" t="s">
        <v>163</v>
      </c>
      <c r="C118" s="68" t="s">
        <v>339</v>
      </c>
      <c r="D118" s="37" t="s">
        <v>163</v>
      </c>
      <c r="E118" s="17">
        <f>'TNTTQUY II - 2016'!P140</f>
        <v>1830000</v>
      </c>
      <c r="F118" s="21"/>
      <c r="G118" s="54" t="e">
        <f>#REF!</f>
        <v>#REF!</v>
      </c>
      <c r="H118" s="55" t="e">
        <f aca="true" t="shared" si="5" ref="H118:H132">E118-G118</f>
        <v>#REF!</v>
      </c>
    </row>
    <row r="119" spans="1:8" ht="15.75">
      <c r="A119" s="7">
        <v>110</v>
      </c>
      <c r="B119" s="8" t="s">
        <v>166</v>
      </c>
      <c r="C119" s="68" t="s">
        <v>338</v>
      </c>
      <c r="D119" s="35" t="s">
        <v>166</v>
      </c>
      <c r="E119" s="17">
        <f>'TNTTQUY II - 2016'!P143</f>
        <v>2808200</v>
      </c>
      <c r="F119" s="18"/>
      <c r="G119" s="54" t="e">
        <f>#REF!</f>
        <v>#REF!</v>
      </c>
      <c r="H119" s="55" t="e">
        <f t="shared" si="5"/>
        <v>#REF!</v>
      </c>
    </row>
    <row r="120" spans="1:8" ht="15.75">
      <c r="A120" s="7">
        <v>111</v>
      </c>
      <c r="B120" s="8" t="s">
        <v>60</v>
      </c>
      <c r="C120" s="68" t="s">
        <v>340</v>
      </c>
      <c r="D120" s="36" t="s">
        <v>60</v>
      </c>
      <c r="E120" s="17">
        <f>'TNTTQUY II - 2016'!P144</f>
        <v>2625200</v>
      </c>
      <c r="F120" s="18"/>
      <c r="G120" s="54" t="e">
        <f>#REF!</f>
        <v>#REF!</v>
      </c>
      <c r="H120" s="55" t="e">
        <f t="shared" si="5"/>
        <v>#REF!</v>
      </c>
    </row>
    <row r="121" spans="1:8" ht="15.75">
      <c r="A121" s="7">
        <v>112</v>
      </c>
      <c r="B121" s="8" t="s">
        <v>167</v>
      </c>
      <c r="C121" s="68" t="s">
        <v>333</v>
      </c>
      <c r="D121" s="36" t="s">
        <v>167</v>
      </c>
      <c r="E121" s="17">
        <f>'TNTTQUY II - 2016'!P145</f>
        <v>1830000</v>
      </c>
      <c r="F121" s="18"/>
      <c r="G121" s="54" t="e">
        <f>#REF!</f>
        <v>#REF!</v>
      </c>
      <c r="H121" s="55" t="e">
        <f t="shared" si="5"/>
        <v>#REF!</v>
      </c>
    </row>
    <row r="122" spans="1:8" ht="15.75">
      <c r="A122" s="7">
        <v>113</v>
      </c>
      <c r="B122" s="11" t="s">
        <v>168</v>
      </c>
      <c r="C122" s="68" t="s">
        <v>334</v>
      </c>
      <c r="D122" s="37" t="s">
        <v>168</v>
      </c>
      <c r="E122" s="17">
        <f>'TNTTQUY II - 2016'!P146</f>
        <v>2127600</v>
      </c>
      <c r="F122" s="18"/>
      <c r="G122" s="54" t="e">
        <f>#REF!</f>
        <v>#REF!</v>
      </c>
      <c r="H122" s="55" t="e">
        <f t="shared" si="5"/>
        <v>#REF!</v>
      </c>
    </row>
    <row r="123" spans="1:8" ht="15.75">
      <c r="A123" s="7">
        <v>114</v>
      </c>
      <c r="B123" s="11" t="s">
        <v>169</v>
      </c>
      <c r="C123" s="68" t="s">
        <v>335</v>
      </c>
      <c r="D123" s="49" t="s">
        <v>169</v>
      </c>
      <c r="E123" s="17">
        <f>'TNTTQUY II - 2016'!P147</f>
        <v>1900600</v>
      </c>
      <c r="F123" s="18"/>
      <c r="G123" s="54" t="e">
        <f>#REF!</f>
        <v>#REF!</v>
      </c>
      <c r="H123" s="55" t="e">
        <f t="shared" si="5"/>
        <v>#REF!</v>
      </c>
    </row>
    <row r="124" spans="1:8" ht="15.75">
      <c r="A124" s="7">
        <v>115</v>
      </c>
      <c r="B124" s="8" t="s">
        <v>170</v>
      </c>
      <c r="C124" s="68" t="s">
        <v>332</v>
      </c>
      <c r="D124" s="36" t="s">
        <v>170</v>
      </c>
      <c r="E124" s="17">
        <f>'TNTTQUY II - 2016'!P148</f>
        <v>2074000</v>
      </c>
      <c r="F124" s="18"/>
      <c r="G124" s="54" t="e">
        <f>#REF!</f>
        <v>#REF!</v>
      </c>
      <c r="H124" s="55" t="e">
        <f t="shared" si="5"/>
        <v>#REF!</v>
      </c>
    </row>
    <row r="125" spans="1:8" ht="15.75">
      <c r="A125" s="7">
        <v>116</v>
      </c>
      <c r="B125" s="8" t="s">
        <v>171</v>
      </c>
      <c r="C125" s="68" t="s">
        <v>336</v>
      </c>
      <c r="D125" s="50" t="s">
        <v>171</v>
      </c>
      <c r="E125" s="17">
        <f>'TNTTQUY II - 2016'!P149</f>
        <v>1825100</v>
      </c>
      <c r="F125" s="18"/>
      <c r="G125" s="54" t="e">
        <f>#REF!</f>
        <v>#REF!</v>
      </c>
      <c r="H125" s="55" t="e">
        <f t="shared" si="5"/>
        <v>#REF!</v>
      </c>
    </row>
    <row r="126" spans="1:8" ht="15.75">
      <c r="A126" s="7">
        <v>117</v>
      </c>
      <c r="B126" s="11" t="s">
        <v>172</v>
      </c>
      <c r="C126" s="68" t="s">
        <v>337</v>
      </c>
      <c r="D126" s="37" t="s">
        <v>172</v>
      </c>
      <c r="E126" s="17">
        <f>'TNTTQUY II - 2016'!P150</f>
        <v>1700600</v>
      </c>
      <c r="F126" s="18"/>
      <c r="G126" s="54" t="e">
        <f>#REF!</f>
        <v>#REF!</v>
      </c>
      <c r="H126" s="55" t="e">
        <f t="shared" si="5"/>
        <v>#REF!</v>
      </c>
    </row>
    <row r="127" spans="1:8" ht="15.75">
      <c r="A127" s="7">
        <v>118</v>
      </c>
      <c r="B127" s="8" t="s">
        <v>175</v>
      </c>
      <c r="C127" s="68" t="s">
        <v>325</v>
      </c>
      <c r="D127" s="47" t="s">
        <v>175</v>
      </c>
      <c r="E127" s="17">
        <f>'TNTTQUY II - 2016'!P153</f>
        <v>2879200</v>
      </c>
      <c r="F127" s="18"/>
      <c r="G127" s="54" t="e">
        <f>#REF!</f>
        <v>#REF!</v>
      </c>
      <c r="H127" s="55" t="e">
        <f t="shared" si="5"/>
        <v>#REF!</v>
      </c>
    </row>
    <row r="128" spans="1:8" ht="15.75">
      <c r="A128" s="7">
        <v>119</v>
      </c>
      <c r="B128" s="8" t="s">
        <v>176</v>
      </c>
      <c r="C128" s="68" t="s">
        <v>326</v>
      </c>
      <c r="D128" s="48" t="s">
        <v>176</v>
      </c>
      <c r="E128" s="17">
        <f>'TNTTQUY II - 2016'!P154</f>
        <v>2773800</v>
      </c>
      <c r="F128" s="18"/>
      <c r="G128" s="54" t="e">
        <f>#REF!</f>
        <v>#REF!</v>
      </c>
      <c r="H128" s="55" t="e">
        <f t="shared" si="5"/>
        <v>#REF!</v>
      </c>
    </row>
    <row r="129" spans="1:8" ht="15.75">
      <c r="A129" s="7">
        <v>120</v>
      </c>
      <c r="B129" s="8" t="s">
        <v>177</v>
      </c>
      <c r="C129" s="68" t="s">
        <v>324</v>
      </c>
      <c r="D129" s="49" t="s">
        <v>177</v>
      </c>
      <c r="E129" s="17">
        <f>'TNTTQUY II - 2016'!P155</f>
        <v>2600400</v>
      </c>
      <c r="F129" s="18"/>
      <c r="G129" s="54" t="e">
        <f>#REF!</f>
        <v>#REF!</v>
      </c>
      <c r="H129" s="55" t="e">
        <f t="shared" si="5"/>
        <v>#REF!</v>
      </c>
    </row>
    <row r="130" spans="1:8" ht="15.75">
      <c r="A130" s="7">
        <v>121</v>
      </c>
      <c r="B130" s="8" t="s">
        <v>178</v>
      </c>
      <c r="C130" s="68" t="s">
        <v>323</v>
      </c>
      <c r="D130" s="36" t="s">
        <v>178</v>
      </c>
      <c r="E130" s="17">
        <f>'TNTTQUY II - 2016'!P156</f>
        <v>2030000</v>
      </c>
      <c r="F130" s="18"/>
      <c r="G130" s="54" t="e">
        <f>#REF!</f>
        <v>#REF!</v>
      </c>
      <c r="H130" s="55" t="e">
        <f t="shared" si="5"/>
        <v>#REF!</v>
      </c>
    </row>
    <row r="131" spans="1:8" ht="15.75">
      <c r="A131" s="7">
        <v>122</v>
      </c>
      <c r="B131" s="8" t="s">
        <v>179</v>
      </c>
      <c r="C131" s="68" t="s">
        <v>322</v>
      </c>
      <c r="D131" s="49" t="s">
        <v>179</v>
      </c>
      <c r="E131" s="17">
        <f>'TNTTQUY II - 2016'!P157</f>
        <v>2214300</v>
      </c>
      <c r="F131" s="18"/>
      <c r="G131" s="54" t="e">
        <f>#REF!</f>
        <v>#REF!</v>
      </c>
      <c r="H131" s="55" t="e">
        <f t="shared" si="5"/>
        <v>#REF!</v>
      </c>
    </row>
    <row r="132" spans="1:8" ht="15.75">
      <c r="A132" s="7">
        <v>123</v>
      </c>
      <c r="B132" s="8" t="s">
        <v>180</v>
      </c>
      <c r="C132" s="68" t="s">
        <v>321</v>
      </c>
      <c r="D132" s="36" t="s">
        <v>180</v>
      </c>
      <c r="E132" s="17">
        <f>'TNTTQUY II - 2016'!P158</f>
        <v>1830000</v>
      </c>
      <c r="F132" s="18"/>
      <c r="G132" s="54" t="e">
        <f>#REF!</f>
        <v>#REF!</v>
      </c>
      <c r="H132" s="55" t="e">
        <f t="shared" si="5"/>
        <v>#REF!</v>
      </c>
    </row>
    <row r="133" spans="1:8" ht="15.75">
      <c r="A133" s="7">
        <v>124</v>
      </c>
      <c r="B133" s="8" t="s">
        <v>181</v>
      </c>
      <c r="C133" s="68" t="s">
        <v>319</v>
      </c>
      <c r="D133" s="49" t="s">
        <v>181</v>
      </c>
      <c r="E133" s="17">
        <f>'TNTTQUY II - 2016'!P159</f>
        <v>1525000</v>
      </c>
      <c r="F133" s="18"/>
      <c r="G133" s="54" t="e">
        <f>#REF!</f>
        <v>#REF!</v>
      </c>
      <c r="H133" s="55" t="e">
        <f aca="true" t="shared" si="6" ref="H133:H145">E133-G133</f>
        <v>#REF!</v>
      </c>
    </row>
    <row r="134" spans="1:8" ht="15.75">
      <c r="A134" s="7">
        <v>125</v>
      </c>
      <c r="B134" s="8" t="s">
        <v>182</v>
      </c>
      <c r="C134" s="68" t="s">
        <v>320</v>
      </c>
      <c r="D134" s="49" t="s">
        <v>182</v>
      </c>
      <c r="E134" s="17">
        <f>'TNTTQUY II - 2016'!P160</f>
        <v>1866600</v>
      </c>
      <c r="F134" s="18"/>
      <c r="G134" s="54" t="e">
        <f>#REF!</f>
        <v>#REF!</v>
      </c>
      <c r="H134" s="55" t="e">
        <f t="shared" si="6"/>
        <v>#REF!</v>
      </c>
    </row>
    <row r="135" spans="1:8" ht="15.75">
      <c r="A135" s="7">
        <v>126</v>
      </c>
      <c r="B135" s="8" t="s">
        <v>183</v>
      </c>
      <c r="C135" s="68" t="s">
        <v>318</v>
      </c>
      <c r="D135" s="146" t="s">
        <v>183</v>
      </c>
      <c r="E135" s="17">
        <f>'TNTTQUY II - 2016'!P161</f>
        <v>1830000</v>
      </c>
      <c r="F135" s="18"/>
      <c r="G135" s="54" t="e">
        <f>#REF!</f>
        <v>#REF!</v>
      </c>
      <c r="H135" s="55" t="e">
        <f t="shared" si="6"/>
        <v>#REF!</v>
      </c>
    </row>
    <row r="136" spans="1:8" ht="15.75">
      <c r="A136" s="7">
        <v>127</v>
      </c>
      <c r="B136" s="129" t="s">
        <v>219</v>
      </c>
      <c r="C136" s="68" t="s">
        <v>316</v>
      </c>
      <c r="D136" s="129"/>
      <c r="E136" s="17">
        <f>'TNTTQUY II - 2016'!P162</f>
        <v>1727400</v>
      </c>
      <c r="F136" s="18"/>
      <c r="G136" s="54"/>
      <c r="H136" s="55"/>
    </row>
    <row r="137" spans="1:8" ht="15.75">
      <c r="A137" s="7">
        <v>128</v>
      </c>
      <c r="B137" s="8" t="s">
        <v>226</v>
      </c>
      <c r="C137" s="68" t="s">
        <v>317</v>
      </c>
      <c r="D137" s="52"/>
      <c r="E137" s="17">
        <f>'TNTTQUY II - 2016'!P163</f>
        <v>485500</v>
      </c>
      <c r="F137" s="18"/>
      <c r="G137" s="54"/>
      <c r="H137" s="55"/>
    </row>
    <row r="138" spans="1:8" ht="15.75">
      <c r="A138" s="7">
        <v>129</v>
      </c>
      <c r="B138" s="8" t="s">
        <v>395</v>
      </c>
      <c r="C138" s="68" t="s">
        <v>415</v>
      </c>
      <c r="D138" s="52"/>
      <c r="E138" s="17">
        <f>'TNTTQUY II - 2016'!P164</f>
        <v>1261600</v>
      </c>
      <c r="F138" s="18"/>
      <c r="G138" s="54"/>
      <c r="H138" s="55"/>
    </row>
    <row r="139" spans="1:8" ht="15.75">
      <c r="A139" s="7">
        <v>130</v>
      </c>
      <c r="B139" s="8" t="s">
        <v>184</v>
      </c>
      <c r="C139" s="68" t="s">
        <v>384</v>
      </c>
      <c r="D139" s="56" t="s">
        <v>184</v>
      </c>
      <c r="E139" s="17">
        <f>'TNTTQUY II - 2016'!P165</f>
        <v>2030000</v>
      </c>
      <c r="F139" s="18"/>
      <c r="G139" s="54" t="e">
        <f>#REF!</f>
        <v>#REF!</v>
      </c>
      <c r="H139" s="55" t="e">
        <f t="shared" si="6"/>
        <v>#REF!</v>
      </c>
    </row>
    <row r="140" spans="1:8" ht="15.75">
      <c r="A140" s="7">
        <v>131</v>
      </c>
      <c r="B140" s="8" t="s">
        <v>157</v>
      </c>
      <c r="C140" s="68" t="s">
        <v>384</v>
      </c>
      <c r="D140" s="48" t="s">
        <v>157</v>
      </c>
      <c r="E140" s="17">
        <f>'TNTTQUY II - 2016'!P168</f>
        <v>3080500</v>
      </c>
      <c r="F140" s="18"/>
      <c r="G140" s="54" t="e">
        <f>#REF!</f>
        <v>#REF!</v>
      </c>
      <c r="H140" s="55" t="e">
        <f>E140-G140</f>
        <v>#REF!</v>
      </c>
    </row>
    <row r="141" spans="1:8" ht="15.75">
      <c r="A141" s="7">
        <v>132</v>
      </c>
      <c r="B141" s="8" t="s">
        <v>186</v>
      </c>
      <c r="C141" s="68" t="s">
        <v>330</v>
      </c>
      <c r="D141" s="35" t="s">
        <v>186</v>
      </c>
      <c r="E141" s="17">
        <f>'TNTTQUY II - 2016'!P169</f>
        <v>1755500</v>
      </c>
      <c r="F141" s="18"/>
      <c r="G141" s="54" t="e">
        <f>#REF!</f>
        <v>#REF!</v>
      </c>
      <c r="H141" s="55" t="e">
        <f t="shared" si="6"/>
        <v>#REF!</v>
      </c>
    </row>
    <row r="142" spans="1:8" ht="15.75">
      <c r="A142" s="7">
        <v>133</v>
      </c>
      <c r="B142" s="8" t="s">
        <v>187</v>
      </c>
      <c r="C142" s="68" t="s">
        <v>329</v>
      </c>
      <c r="D142" s="36" t="s">
        <v>187</v>
      </c>
      <c r="E142" s="17">
        <f>'TNTTQUY II - 2016'!P170</f>
        <v>1866600</v>
      </c>
      <c r="F142" s="18"/>
      <c r="G142" s="54" t="e">
        <f>#REF!</f>
        <v>#REF!</v>
      </c>
      <c r="H142" s="55" t="e">
        <f t="shared" si="6"/>
        <v>#REF!</v>
      </c>
    </row>
    <row r="143" spans="1:11" ht="15.75">
      <c r="A143" s="7">
        <v>134</v>
      </c>
      <c r="B143" s="8" t="s">
        <v>188</v>
      </c>
      <c r="C143" s="68" t="s">
        <v>328</v>
      </c>
      <c r="D143" s="49" t="s">
        <v>188</v>
      </c>
      <c r="E143" s="17">
        <f>'TNTTQUY II - 2016'!P171</f>
        <v>1742200</v>
      </c>
      <c r="F143" s="18"/>
      <c r="G143" s="54" t="e">
        <f>#REF!</f>
        <v>#REF!</v>
      </c>
      <c r="H143" s="55" t="e">
        <f t="shared" si="6"/>
        <v>#REF!</v>
      </c>
      <c r="K143" s="54"/>
    </row>
    <row r="144" spans="1:8" ht="15.75">
      <c r="A144" s="7">
        <v>135</v>
      </c>
      <c r="B144" s="8" t="s">
        <v>189</v>
      </c>
      <c r="C144" s="68" t="s">
        <v>327</v>
      </c>
      <c r="D144" s="49" t="s">
        <v>189</v>
      </c>
      <c r="E144" s="17">
        <f>'TNTTQUY II - 2016'!P172</f>
        <v>2213000</v>
      </c>
      <c r="F144" s="18"/>
      <c r="G144" s="54" t="e">
        <f>#REF!</f>
        <v>#REF!</v>
      </c>
      <c r="H144" s="55" t="e">
        <f t="shared" si="6"/>
        <v>#REF!</v>
      </c>
    </row>
    <row r="145" spans="1:8" ht="15.75">
      <c r="A145" s="7">
        <v>136</v>
      </c>
      <c r="B145" s="12" t="s">
        <v>190</v>
      </c>
      <c r="C145" s="68" t="s">
        <v>331</v>
      </c>
      <c r="D145" s="37" t="s">
        <v>190</v>
      </c>
      <c r="E145" s="17">
        <f>'TNTTQUY II - 2016'!P173</f>
        <v>1830000</v>
      </c>
      <c r="F145" s="21"/>
      <c r="G145" s="54" t="e">
        <f>#REF!</f>
        <v>#REF!</v>
      </c>
      <c r="H145" s="55" t="e">
        <f t="shared" si="6"/>
        <v>#REF!</v>
      </c>
    </row>
    <row r="146" spans="1:11" ht="15.75">
      <c r="A146" s="7">
        <v>137</v>
      </c>
      <c r="B146" s="194" t="s">
        <v>378</v>
      </c>
      <c r="C146" s="68" t="s">
        <v>381</v>
      </c>
      <c r="D146" s="65"/>
      <c r="E146" s="17">
        <f>'TNTTQUY II - 2016'!P176</f>
        <v>1513900</v>
      </c>
      <c r="F146" s="66"/>
      <c r="G146" s="54"/>
      <c r="H146" s="55"/>
      <c r="K146" s="54"/>
    </row>
    <row r="147" spans="1:11" ht="15.75">
      <c r="A147" s="7">
        <v>138</v>
      </c>
      <c r="B147" s="194" t="s">
        <v>379</v>
      </c>
      <c r="C147" s="68" t="s">
        <v>383</v>
      </c>
      <c r="D147" s="65"/>
      <c r="E147" s="17">
        <f>'TNTTQUY II - 2016'!P177</f>
        <v>1206500</v>
      </c>
      <c r="F147" s="66"/>
      <c r="G147" s="54"/>
      <c r="H147" s="55"/>
      <c r="K147" s="54"/>
    </row>
    <row r="148" spans="1:11" ht="16.5" thickBot="1">
      <c r="A148" s="7">
        <v>139</v>
      </c>
      <c r="B148" s="195" t="s">
        <v>380</v>
      </c>
      <c r="C148" s="68" t="s">
        <v>382</v>
      </c>
      <c r="D148" s="196"/>
      <c r="E148" s="17">
        <f>'TNTTQUY II - 2016'!P178</f>
        <v>1206500</v>
      </c>
      <c r="F148" s="197"/>
      <c r="G148" s="54"/>
      <c r="H148" s="55"/>
      <c r="K148" s="54"/>
    </row>
    <row r="149" spans="1:11" ht="17.25" thickBot="1">
      <c r="A149" s="23">
        <f>COUNT(A9:A148)</f>
        <v>139</v>
      </c>
      <c r="B149" s="199"/>
      <c r="C149" s="24"/>
      <c r="D149" s="24"/>
      <c r="E149" s="25">
        <f>SUM(E9:E148)</f>
        <v>286826500</v>
      </c>
      <c r="F149" s="26"/>
      <c r="G149" s="54" t="e">
        <f>SUM(G9:G145)</f>
        <v>#REF!</v>
      </c>
      <c r="K149" s="54"/>
    </row>
    <row r="150" spans="1:21" s="63" customFormat="1" ht="18" customHeight="1" thickTop="1">
      <c r="A150" s="102"/>
      <c r="B150" s="103" t="s">
        <v>221</v>
      </c>
      <c r="C150" s="272" t="str">
        <f>[1]!VND(Salary!E149,TRUE,1,"đồng","xu")</f>
        <v>Hai trăm tám mươi sáu triệu, tám trăm hai mươi sáu ngàn, năm trăm đồng</v>
      </c>
      <c r="D150" s="272"/>
      <c r="E150" s="272"/>
      <c r="F150" s="272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49"/>
      <c r="S150" s="79"/>
      <c r="T150" s="79">
        <v>0</v>
      </c>
      <c r="U150" s="79"/>
    </row>
    <row r="151" spans="1:6" ht="16.5">
      <c r="A151" s="27"/>
      <c r="B151" s="27"/>
      <c r="C151" s="27"/>
      <c r="D151" s="27"/>
      <c r="E151" s="264" t="s">
        <v>417</v>
      </c>
      <c r="F151" s="264"/>
    </row>
    <row r="152" spans="2:6" ht="16.5">
      <c r="B152" s="230" t="s">
        <v>409</v>
      </c>
      <c r="C152" s="205" t="s">
        <v>192</v>
      </c>
      <c r="D152" s="57"/>
      <c r="E152" s="265" t="s">
        <v>198</v>
      </c>
      <c r="F152" s="265"/>
    </row>
    <row r="155" spans="1:6" ht="19.5">
      <c r="A155" s="29"/>
      <c r="B155" s="29"/>
      <c r="C155" s="29"/>
      <c r="D155" s="29"/>
      <c r="E155" s="29"/>
      <c r="F155" s="29"/>
    </row>
    <row r="156" spans="1:6" ht="19.5">
      <c r="A156" s="29"/>
      <c r="B156" s="29"/>
      <c r="C156" s="29"/>
      <c r="D156" s="29"/>
      <c r="E156" s="29"/>
      <c r="F156" s="29"/>
    </row>
    <row r="157" spans="1:6" ht="19.5">
      <c r="A157" s="29"/>
      <c r="B157" s="29"/>
      <c r="C157" s="29"/>
      <c r="D157" s="29"/>
      <c r="E157" s="29"/>
      <c r="F157" s="29"/>
    </row>
    <row r="158" spans="1:6" ht="19.5">
      <c r="A158" s="29"/>
      <c r="B158" s="29"/>
      <c r="C158" s="29"/>
      <c r="D158" s="29"/>
      <c r="E158" s="29"/>
      <c r="F158" s="29"/>
    </row>
    <row r="159" spans="1:6" ht="19.5">
      <c r="A159" s="29"/>
      <c r="B159" s="29"/>
      <c r="C159" s="29"/>
      <c r="D159" s="29"/>
      <c r="E159" s="29"/>
      <c r="F159" s="29"/>
    </row>
    <row r="160" spans="1:6" ht="19.5">
      <c r="A160" s="29"/>
      <c r="B160" s="29"/>
      <c r="C160" s="29"/>
      <c r="D160" s="29"/>
      <c r="E160" s="29"/>
      <c r="F160" s="29"/>
    </row>
    <row r="161" spans="1:6" ht="19.5">
      <c r="A161" s="29"/>
      <c r="B161" s="29"/>
      <c r="C161" s="29"/>
      <c r="D161" s="29"/>
      <c r="E161" s="29"/>
      <c r="F161" s="29"/>
    </row>
    <row r="162" spans="1:6" ht="19.5">
      <c r="A162" s="29"/>
      <c r="B162" s="29"/>
      <c r="C162" s="29"/>
      <c r="D162" s="29"/>
      <c r="E162" s="29"/>
      <c r="F162" s="29"/>
    </row>
  </sheetData>
  <sheetProtection/>
  <mergeCells count="13">
    <mergeCell ref="F7:F8"/>
    <mergeCell ref="A1:C1"/>
    <mergeCell ref="A2:C2"/>
    <mergeCell ref="E151:F151"/>
    <mergeCell ref="E152:F152"/>
    <mergeCell ref="A3:F3"/>
    <mergeCell ref="A7:A8"/>
    <mergeCell ref="B7:B8"/>
    <mergeCell ref="E7:E8"/>
    <mergeCell ref="C150:F150"/>
    <mergeCell ref="A4:F4"/>
    <mergeCell ref="A5:F5"/>
    <mergeCell ref="C7:C8"/>
  </mergeCells>
  <printOptions/>
  <pageMargins left="0.56" right="0.47" top="0.41" bottom="0.36" header="0.29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TTYT Huong 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hieu</dc:creator>
  <cp:keywords/>
  <dc:description/>
  <cp:lastModifiedBy>hp</cp:lastModifiedBy>
  <cp:lastPrinted>2017-01-20T00:35:00Z</cp:lastPrinted>
  <dcterms:created xsi:type="dcterms:W3CDTF">2012-09-07T04:30:34Z</dcterms:created>
  <dcterms:modified xsi:type="dcterms:W3CDTF">2017-01-20T00:35:04Z</dcterms:modified>
  <cp:category/>
  <cp:version/>
  <cp:contentType/>
  <cp:contentStatus/>
</cp:coreProperties>
</file>